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never" codeName="ThisWorkbook" hidePivotFieldList="1"/>
  <mc:AlternateContent xmlns:mc="http://schemas.openxmlformats.org/markup-compatibility/2006">
    <mc:Choice Requires="x15">
      <x15ac:absPath xmlns:x15ac="http://schemas.microsoft.com/office/spreadsheetml/2010/11/ac" url="S:\Avian Data\Project Folders\Axis\Grove Farm Solar\Reports\Draft for client\16.07.25\"/>
    </mc:Choice>
  </mc:AlternateContent>
  <xr:revisionPtr revIDLastSave="0" documentId="8_{198B1444-89CB-436E-BDED-4027797EF872}" xr6:coauthVersionLast="47" xr6:coauthVersionMax="47" xr10:uidLastSave="{00000000-0000-0000-0000-000000000000}"/>
  <bookViews>
    <workbookView xWindow="28680" yWindow="-1800" windowWidth="29040" windowHeight="15720" tabRatio="741" firstSheet="1" activeTab="1" xr2:uid="{00000000-000D-0000-FFFF-FFFF00000000}"/>
  </bookViews>
  <sheets>
    <sheet name="Introduction" sheetId="101" r:id="rId1"/>
    <sheet name="Start" sheetId="96" r:id="rId2"/>
    <sheet name="Instructions" sheetId="89" r:id="rId3"/>
    <sheet name="Irreplaceable Habitats" sheetId="106" r:id="rId4"/>
    <sheet name="Main Menu" sheetId="78" r:id="rId5"/>
    <sheet name="Results" sheetId="79" r:id="rId6"/>
    <sheet name="Headline Results" sheetId="73" r:id="rId7"/>
    <sheet name="Detailed Results" sheetId="36" r:id="rId8"/>
    <sheet name="Trading Summary Area Habitats" sheetId="72" r:id="rId9"/>
    <sheet name="Trading Summary Hedgerows" sheetId="104" r:id="rId10"/>
    <sheet name="Trading Summary WaterC's" sheetId="105" r:id="rId11"/>
    <sheet name="Off-site gain site summary" sheetId="107" r:id="rId12"/>
    <sheet name="A-1 On-Site Habitat Baseline" sheetId="11" r:id="rId13"/>
    <sheet name="A-2 On-Site Habitat Creation" sheetId="46" r:id="rId14"/>
    <sheet name="A-3 On-Site Habitat Enhancement" sheetId="32" r:id="rId15"/>
    <sheet name="D-1 Off-Site Habitat Baseline" sheetId="59" r:id="rId16"/>
    <sheet name="D-2 Off-Site Habitat Creation" sheetId="71" r:id="rId17"/>
    <sheet name="D-3 Off-Site Habitat Enhancment" sheetId="50" r:id="rId18"/>
    <sheet name="B-1 On-Site Hedge Baseline" sheetId="52" r:id="rId19"/>
    <sheet name="B-2 On-Site Hedge Creation" sheetId="42" r:id="rId20"/>
    <sheet name="B-3 On-Site Hedge Enhancement" sheetId="53" r:id="rId21"/>
    <sheet name="E-1 Off-Site Hedge Baseline" sheetId="55" r:id="rId22"/>
    <sheet name="E-2 Off-Site Hedge Creation" sheetId="58" r:id="rId23"/>
    <sheet name="E-3 Off-Site Hedge Enhancement" sheetId="57" r:id="rId24"/>
    <sheet name="C-1 On-Site WaterC' Baseline" sheetId="63" r:id="rId25"/>
    <sheet name="C-2 On-Site WaterC' Creation" sheetId="64" r:id="rId26"/>
    <sheet name="C-3 On-Site WaterC' Enhancement" sheetId="65" r:id="rId27"/>
    <sheet name="F-1 Off-Site WaterC' Baseline" sheetId="67" r:id="rId28"/>
    <sheet name="F-2 Off-Site WaterC' Creation" sheetId="68" r:id="rId29"/>
    <sheet name="F-3 Off-Site WaterC Enhancement" sheetId="69" r:id="rId30"/>
    <sheet name="G-1 All Habitats" sheetId="29" r:id="rId31"/>
    <sheet name="G-2 Habitat groups" sheetId="22" r:id="rId32"/>
    <sheet name="G-3 Multipliers" sheetId="28" r:id="rId33"/>
    <sheet name="G-4 Temporal multipliers" sheetId="20" r:id="rId34"/>
    <sheet name="G-5 Enhancement Temporal" sheetId="33" r:id="rId35"/>
    <sheet name="G-6 Hedgerow Data" sheetId="39" r:id="rId36"/>
    <sheet name="G-7 WaterC' Data" sheetId="66" r:id="rId37"/>
    <sheet name="G-8 Condition Look up" sheetId="99" r:id="rId38"/>
    <sheet name="Phase 1 Translation Tool" sheetId="103" r:id="rId39"/>
    <sheet name="Technical Data" sheetId="95" r:id="rId40"/>
    <sheet name="Lists" sheetId="61"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91028"/>
  <customWorkbookViews>
    <customWorkbookView name="h" guid="{8BDA793C-C9C5-4FC6-A0A5-F1109F6D4F22}" includePrintSettings="0" includeHiddenRowCol="0" maximized="1" xWindow="-1928" yWindow="-314" windowWidth="1936" windowHeight="1056" tabRatio="760" activeSheetId="78"/>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1" l="1"/>
  <c r="S24" i="11"/>
  <c r="H24" i="11"/>
  <c r="G19" i="46"/>
  <c r="G14" i="46"/>
  <c r="G16" i="46"/>
  <c r="S12" i="11"/>
  <c r="K18" i="73"/>
  <c r="J53" i="73"/>
  <c r="K30" i="73" l="1"/>
  <c r="J30" i="73"/>
  <c r="J18" i="73"/>
  <c r="J151" i="22"/>
  <c r="J152" i="22"/>
  <c r="J154" i="22"/>
  <c r="J155" i="22"/>
  <c r="J157" i="22"/>
  <c r="J158" i="22"/>
  <c r="J161" i="22"/>
  <c r="B103" i="22"/>
  <c r="C108" i="72" l="1"/>
  <c r="B108" i="72"/>
  <c r="B134" i="22"/>
  <c r="B135" i="22"/>
  <c r="B76" i="22"/>
  <c r="G257" i="71" l="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l="1"/>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R12" i="63"/>
  <c r="R13" i="63"/>
  <c r="R14" i="63"/>
  <c r="R15" i="63"/>
  <c r="R16" i="63"/>
  <c r="R17" i="63"/>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7" i="107" l="1" a="1"/>
  <c r="N7" i="107" s="1"/>
  <c r="Q7" i="107" s="1"/>
  <c r="W7" i="107" a="1"/>
  <c r="W7" i="107" s="1"/>
  <c r="AC7" i="107" s="1"/>
  <c r="B7" i="107" a="1"/>
  <c r="B7" i="107" s="1"/>
  <c r="K7" i="107" s="1"/>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4" i="63"/>
  <c r="X15" i="63"/>
  <c r="X16" i="63"/>
  <c r="X17" i="63"/>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4" i="63"/>
  <c r="Y15" i="63"/>
  <c r="Y16" i="63"/>
  <c r="Y1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I10" i="63"/>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l="1"/>
  <c r="AB107" i="107"/>
  <c r="AD107" i="107" s="1"/>
  <c r="AB99" i="107"/>
  <c r="AD99" i="107" s="1"/>
  <c r="AB91" i="107"/>
  <c r="AD91" i="107" s="1"/>
  <c r="AB83" i="107"/>
  <c r="AD83" i="107" s="1"/>
  <c r="AB75" i="107"/>
  <c r="AD75" i="107" s="1"/>
  <c r="AB67" i="107"/>
  <c r="AD67" i="107" s="1"/>
  <c r="AB59" i="107"/>
  <c r="AD59" i="107" s="1"/>
  <c r="AB51" i="107"/>
  <c r="AD51" i="107" s="1"/>
  <c r="AB43" i="107"/>
  <c r="AD43" i="107" s="1"/>
  <c r="AB35" i="107"/>
  <c r="AD35" i="107" s="1"/>
  <c r="AB27" i="107"/>
  <c r="AD27" i="107" s="1"/>
  <c r="AB19" i="107"/>
  <c r="AD19" i="107" s="1"/>
  <c r="AB11" i="107"/>
  <c r="AD11" i="107" s="1"/>
  <c r="AB98" i="107"/>
  <c r="AD98" i="107" s="1"/>
  <c r="AB34" i="107"/>
  <c r="AD34" i="107" s="1"/>
  <c r="AB105" i="107"/>
  <c r="AD105" i="107" s="1"/>
  <c r="AB97" i="107"/>
  <c r="AD97" i="107" s="1"/>
  <c r="AB89" i="107"/>
  <c r="AD89" i="107" s="1"/>
  <c r="AB81" i="107"/>
  <c r="AD81" i="107" s="1"/>
  <c r="AB73" i="107"/>
  <c r="AD73" i="107" s="1"/>
  <c r="AB65" i="107"/>
  <c r="AD65" i="107" s="1"/>
  <c r="AB57" i="107"/>
  <c r="AD57" i="107" s="1"/>
  <c r="AB49" i="107"/>
  <c r="AD49" i="107" s="1"/>
  <c r="AB41" i="107"/>
  <c r="AD41" i="107" s="1"/>
  <c r="AB33" i="107"/>
  <c r="AD33" i="107" s="1"/>
  <c r="AB25" i="107"/>
  <c r="AD25" i="107" s="1"/>
  <c r="AB17" i="107"/>
  <c r="AD17" i="107" s="1"/>
  <c r="AB42" i="107"/>
  <c r="AD42" i="107" s="1"/>
  <c r="AB104" i="107"/>
  <c r="AD104" i="107" s="1"/>
  <c r="AB96" i="107"/>
  <c r="AD96" i="107" s="1"/>
  <c r="AB88" i="107"/>
  <c r="AD88" i="107" s="1"/>
  <c r="AB80" i="107"/>
  <c r="AD80" i="107" s="1"/>
  <c r="AB72" i="107"/>
  <c r="AD72" i="107" s="1"/>
  <c r="AB64" i="107"/>
  <c r="AD64" i="107" s="1"/>
  <c r="AB56" i="107"/>
  <c r="AD56" i="107" s="1"/>
  <c r="AB48" i="107"/>
  <c r="AD48" i="107" s="1"/>
  <c r="AB40" i="107"/>
  <c r="AD40" i="107" s="1"/>
  <c r="AB32" i="107"/>
  <c r="AD32" i="107" s="1"/>
  <c r="AB24" i="107"/>
  <c r="AD24" i="107" s="1"/>
  <c r="AB16" i="107"/>
  <c r="AD16" i="107" s="1"/>
  <c r="AB82" i="107"/>
  <c r="AD82" i="107" s="1"/>
  <c r="AB50" i="107"/>
  <c r="AD50" i="107" s="1"/>
  <c r="AB18" i="107"/>
  <c r="AD18" i="107" s="1"/>
  <c r="AB103" i="107"/>
  <c r="AD103" i="107" s="1"/>
  <c r="AB95" i="107"/>
  <c r="AD95" i="107" s="1"/>
  <c r="AB87" i="107"/>
  <c r="AD87" i="107" s="1"/>
  <c r="AB79" i="107"/>
  <c r="AD79" i="107" s="1"/>
  <c r="AB71" i="107"/>
  <c r="AD71" i="107" s="1"/>
  <c r="AB63" i="107"/>
  <c r="AD63" i="107" s="1"/>
  <c r="AB55" i="107"/>
  <c r="AB47" i="107"/>
  <c r="AD47" i="107" s="1"/>
  <c r="AB39" i="107"/>
  <c r="AD39" i="107" s="1"/>
  <c r="AB31" i="107"/>
  <c r="AD31" i="107" s="1"/>
  <c r="AB23" i="107"/>
  <c r="AD23" i="107" s="1"/>
  <c r="AB15" i="107"/>
  <c r="AD15" i="107" s="1"/>
  <c r="AB74" i="107"/>
  <c r="AD74" i="107" s="1"/>
  <c r="AB102" i="107"/>
  <c r="AD102" i="107" s="1"/>
  <c r="AB94" i="107"/>
  <c r="AD94" i="107" s="1"/>
  <c r="AB86" i="107"/>
  <c r="AD86" i="107" s="1"/>
  <c r="AB78" i="107"/>
  <c r="AD78" i="107" s="1"/>
  <c r="AB70" i="107"/>
  <c r="AD70" i="107" s="1"/>
  <c r="AB62" i="107"/>
  <c r="AD62" i="107" s="1"/>
  <c r="AB54" i="107"/>
  <c r="AD54" i="107" s="1"/>
  <c r="AB46" i="107"/>
  <c r="AD46" i="107" s="1"/>
  <c r="AB38" i="107"/>
  <c r="AD38" i="107" s="1"/>
  <c r="AB30" i="107"/>
  <c r="AD30" i="107" s="1"/>
  <c r="AB22" i="107"/>
  <c r="AD22" i="107" s="1"/>
  <c r="AB14" i="107"/>
  <c r="AD14" i="107" s="1"/>
  <c r="AB90" i="107"/>
  <c r="AD90" i="107" s="1"/>
  <c r="AB58" i="107"/>
  <c r="AD58" i="107" s="1"/>
  <c r="AB26" i="107"/>
  <c r="AD26" i="107" s="1"/>
  <c r="AB101" i="107"/>
  <c r="AD101" i="107" s="1"/>
  <c r="AB93" i="107"/>
  <c r="AD93" i="107" s="1"/>
  <c r="AB85" i="107"/>
  <c r="AD85" i="107" s="1"/>
  <c r="AB77" i="107"/>
  <c r="AD77" i="107" s="1"/>
  <c r="AB69" i="107"/>
  <c r="AD69" i="107" s="1"/>
  <c r="AB61" i="107"/>
  <c r="AD61" i="107" s="1"/>
  <c r="AB53" i="107"/>
  <c r="AD53" i="107" s="1"/>
  <c r="AB45" i="107"/>
  <c r="AD45" i="107" s="1"/>
  <c r="AB37" i="107"/>
  <c r="AD37" i="107" s="1"/>
  <c r="AB29" i="107"/>
  <c r="AD29" i="107" s="1"/>
  <c r="AB21" i="107"/>
  <c r="AD21" i="107" s="1"/>
  <c r="AB13" i="107"/>
  <c r="AD13" i="107" s="1"/>
  <c r="AB106" i="107"/>
  <c r="AD106" i="107" s="1"/>
  <c r="AB66" i="107"/>
  <c r="AD66" i="107" s="1"/>
  <c r="AB100" i="107"/>
  <c r="AD100" i="107" s="1"/>
  <c r="AB92" i="107"/>
  <c r="AD92" i="107" s="1"/>
  <c r="AB84" i="107"/>
  <c r="AD84" i="107" s="1"/>
  <c r="AB76" i="107"/>
  <c r="AD76" i="107" s="1"/>
  <c r="AB68" i="107"/>
  <c r="AD68" i="107" s="1"/>
  <c r="AB60" i="107"/>
  <c r="AD60" i="107" s="1"/>
  <c r="AB52" i="107"/>
  <c r="AD52" i="107" s="1"/>
  <c r="AB44" i="107"/>
  <c r="AD44" i="107" s="1"/>
  <c r="AB36" i="107"/>
  <c r="AD36" i="107" s="1"/>
  <c r="AB28" i="107"/>
  <c r="AD28" i="107" s="1"/>
  <c r="AB20" i="107"/>
  <c r="AD20" i="107" s="1"/>
  <c r="AB12" i="107"/>
  <c r="AD12" i="107" s="1"/>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Q53" i="107"/>
  <c r="P26" i="107"/>
  <c r="O72" i="107"/>
  <c r="R103" i="107"/>
  <c r="R74" i="107"/>
  <c r="Q47" i="107"/>
  <c r="Q18" i="107"/>
  <c r="O49" i="107"/>
  <c r="Q103" i="107"/>
  <c r="Q74" i="107"/>
  <c r="Q45" i="107"/>
  <c r="P18" i="107"/>
  <c r="O48" i="107"/>
  <c r="P96" i="107"/>
  <c r="R68" i="107"/>
  <c r="R39" i="107"/>
  <c r="R10" i="107"/>
  <c r="O31" i="107"/>
  <c r="R95" i="107"/>
  <c r="R66" i="107"/>
  <c r="Q39" i="107"/>
  <c r="Q10" i="107"/>
  <c r="O25" i="107"/>
  <c r="Q101" i="107"/>
  <c r="Q95" i="107"/>
  <c r="R87" i="107"/>
  <c r="P80" i="107"/>
  <c r="P74" i="107"/>
  <c r="Q66" i="107"/>
  <c r="R58" i="107"/>
  <c r="R52" i="107"/>
  <c r="P45" i="107"/>
  <c r="Q37" i="107"/>
  <c r="Q31" i="107"/>
  <c r="R23" i="107"/>
  <c r="P16" i="107"/>
  <c r="P10" i="107"/>
  <c r="O88" i="107"/>
  <c r="O65" i="107"/>
  <c r="O47" i="107"/>
  <c r="O24" i="107"/>
  <c r="P101" i="107"/>
  <c r="Q93" i="107"/>
  <c r="Q87" i="107"/>
  <c r="R79" i="107"/>
  <c r="P72" i="107"/>
  <c r="P66" i="107"/>
  <c r="Q58" i="107"/>
  <c r="R50" i="107"/>
  <c r="R44" i="107"/>
  <c r="P37" i="107"/>
  <c r="Q29" i="107"/>
  <c r="Q23" i="107"/>
  <c r="R15" i="107"/>
  <c r="O105" i="107"/>
  <c r="O87" i="107"/>
  <c r="O64" i="107"/>
  <c r="O41" i="107"/>
  <c r="O23" i="107"/>
  <c r="R106" i="107"/>
  <c r="R100" i="107"/>
  <c r="P93" i="107"/>
  <c r="Q85" i="107"/>
  <c r="Q79" i="107"/>
  <c r="R71" i="107"/>
  <c r="P64" i="107"/>
  <c r="P58" i="107"/>
  <c r="Q50" i="107"/>
  <c r="R42" i="107"/>
  <c r="R36" i="107"/>
  <c r="P29" i="107"/>
  <c r="Q21" i="107"/>
  <c r="Q15" i="107"/>
  <c r="O104" i="107"/>
  <c r="O81" i="107"/>
  <c r="O63" i="107"/>
  <c r="O40" i="107"/>
  <c r="O17" i="107"/>
  <c r="Q106" i="107"/>
  <c r="R98" i="107"/>
  <c r="R92" i="107"/>
  <c r="P85" i="107"/>
  <c r="Q77" i="107"/>
  <c r="Q71" i="107"/>
  <c r="R63" i="107"/>
  <c r="P56" i="107"/>
  <c r="P50" i="107"/>
  <c r="Q42" i="107"/>
  <c r="R34" i="107"/>
  <c r="R28" i="107"/>
  <c r="P21" i="107"/>
  <c r="Q13" i="107"/>
  <c r="O103" i="107"/>
  <c r="O80" i="107"/>
  <c r="O57" i="107"/>
  <c r="O39" i="107"/>
  <c r="O16" i="107"/>
  <c r="P106" i="107"/>
  <c r="Q98" i="107"/>
  <c r="R90" i="107"/>
  <c r="R84" i="107"/>
  <c r="P77" i="107"/>
  <c r="Q69" i="107"/>
  <c r="Q63" i="107"/>
  <c r="R55" i="107"/>
  <c r="P48" i="107"/>
  <c r="P42" i="107"/>
  <c r="Q34" i="107"/>
  <c r="R26" i="107"/>
  <c r="R20" i="107"/>
  <c r="P13" i="107"/>
  <c r="O97" i="107"/>
  <c r="O79" i="107"/>
  <c r="O56" i="107"/>
  <c r="O33" i="107"/>
  <c r="O15" i="107"/>
  <c r="P104" i="107"/>
  <c r="P98" i="107"/>
  <c r="Q90" i="107"/>
  <c r="R82" i="107"/>
  <c r="R76" i="107"/>
  <c r="P69" i="107"/>
  <c r="Q61" i="107"/>
  <c r="Q55" i="107"/>
  <c r="R47" i="107"/>
  <c r="P40" i="107"/>
  <c r="P34" i="107"/>
  <c r="Q26" i="107"/>
  <c r="R18" i="107"/>
  <c r="R12" i="107"/>
  <c r="O96" i="107"/>
  <c r="O73" i="107"/>
  <c r="O55" i="107"/>
  <c r="O32" i="107"/>
  <c r="O9" i="107"/>
  <c r="R105" i="107"/>
  <c r="P103" i="107"/>
  <c r="Q100" i="107"/>
  <c r="R97" i="107"/>
  <c r="P95" i="107"/>
  <c r="Q92" i="107"/>
  <c r="R89" i="107"/>
  <c r="P87" i="107"/>
  <c r="Q84" i="107"/>
  <c r="R81" i="107"/>
  <c r="P79" i="107"/>
  <c r="Q76" i="107"/>
  <c r="R73" i="107"/>
  <c r="P71" i="107"/>
  <c r="Q68" i="107"/>
  <c r="R65" i="107"/>
  <c r="P63" i="107"/>
  <c r="Q60" i="107"/>
  <c r="R57" i="107"/>
  <c r="P55" i="107"/>
  <c r="Q52" i="107"/>
  <c r="R49" i="107"/>
  <c r="P47" i="107"/>
  <c r="Q44" i="107"/>
  <c r="R41" i="107"/>
  <c r="P39" i="107"/>
  <c r="Q36" i="107"/>
  <c r="R33" i="107"/>
  <c r="P31" i="107"/>
  <c r="Q28" i="107"/>
  <c r="R25" i="107"/>
  <c r="P23" i="107"/>
  <c r="Q20" i="107"/>
  <c r="R17" i="107"/>
  <c r="P15" i="107"/>
  <c r="Q12" i="107"/>
  <c r="R9" i="107"/>
  <c r="O102" i="107"/>
  <c r="O94" i="107"/>
  <c r="O86" i="107"/>
  <c r="O78" i="107"/>
  <c r="O70" i="107"/>
  <c r="O62" i="107"/>
  <c r="O54" i="107"/>
  <c r="O46" i="107"/>
  <c r="O38" i="107"/>
  <c r="O30" i="107"/>
  <c r="O22" i="107"/>
  <c r="O14" i="107"/>
  <c r="Q105" i="107"/>
  <c r="R102" i="107"/>
  <c r="P100" i="107"/>
  <c r="Q97" i="107"/>
  <c r="R94" i="107"/>
  <c r="P92" i="107"/>
  <c r="Q89" i="107"/>
  <c r="R86" i="107"/>
  <c r="P84" i="107"/>
  <c r="Q81" i="107"/>
  <c r="R78" i="107"/>
  <c r="P76" i="107"/>
  <c r="Q73" i="107"/>
  <c r="R70" i="107"/>
  <c r="P68" i="107"/>
  <c r="Q65" i="107"/>
  <c r="R62" i="107"/>
  <c r="P60" i="107"/>
  <c r="Q57" i="107"/>
  <c r="R54" i="107"/>
  <c r="P52" i="107"/>
  <c r="Q49" i="107"/>
  <c r="R46" i="107"/>
  <c r="P44" i="107"/>
  <c r="Q41" i="107"/>
  <c r="R38" i="107"/>
  <c r="P36" i="107"/>
  <c r="Q33" i="107"/>
  <c r="R30" i="107"/>
  <c r="P28" i="107"/>
  <c r="Q25" i="107"/>
  <c r="R22" i="107"/>
  <c r="P20" i="107"/>
  <c r="Q17" i="107"/>
  <c r="R14" i="107"/>
  <c r="P12" i="107"/>
  <c r="Q9" i="107"/>
  <c r="O101" i="107"/>
  <c r="O93" i="107"/>
  <c r="O85" i="107"/>
  <c r="O77" i="107"/>
  <c r="O69" i="107"/>
  <c r="O61" i="107"/>
  <c r="O53" i="107"/>
  <c r="O45" i="107"/>
  <c r="O37" i="107"/>
  <c r="O29" i="107"/>
  <c r="O21" i="107"/>
  <c r="O13" i="107"/>
  <c r="R107" i="107"/>
  <c r="P105" i="107"/>
  <c r="Q102" i="107"/>
  <c r="R99" i="107"/>
  <c r="P97" i="107"/>
  <c r="Q94" i="107"/>
  <c r="R91" i="107"/>
  <c r="P89" i="107"/>
  <c r="Q86" i="107"/>
  <c r="R83" i="107"/>
  <c r="P81" i="107"/>
  <c r="Q78" i="107"/>
  <c r="R75" i="107"/>
  <c r="P73" i="107"/>
  <c r="Q70" i="107"/>
  <c r="R67" i="107"/>
  <c r="P65" i="107"/>
  <c r="Q62" i="107"/>
  <c r="R59" i="107"/>
  <c r="P57" i="107"/>
  <c r="Q54" i="107"/>
  <c r="R51" i="107"/>
  <c r="P49" i="107"/>
  <c r="Q46" i="107"/>
  <c r="R43" i="107"/>
  <c r="P41" i="107"/>
  <c r="Q38" i="107"/>
  <c r="R35" i="107"/>
  <c r="P33" i="107"/>
  <c r="Q30" i="107"/>
  <c r="R27" i="107"/>
  <c r="P25" i="107"/>
  <c r="Q22" i="107"/>
  <c r="R19" i="107"/>
  <c r="P17" i="107"/>
  <c r="Q14" i="107"/>
  <c r="R11" i="107"/>
  <c r="P9" i="107"/>
  <c r="O100" i="107"/>
  <c r="O92" i="107"/>
  <c r="O84" i="107"/>
  <c r="O76" i="107"/>
  <c r="O68" i="107"/>
  <c r="O60" i="107"/>
  <c r="O52" i="107"/>
  <c r="O44" i="107"/>
  <c r="O36" i="107"/>
  <c r="O28" i="107"/>
  <c r="O20" i="107"/>
  <c r="O12" i="107"/>
  <c r="Q107" i="107"/>
  <c r="R104" i="107"/>
  <c r="P102" i="107"/>
  <c r="Q99" i="107"/>
  <c r="R96" i="107"/>
  <c r="P94" i="107"/>
  <c r="Q91" i="107"/>
  <c r="R88" i="107"/>
  <c r="P86" i="107"/>
  <c r="Q83" i="107"/>
  <c r="R80" i="107"/>
  <c r="P78" i="107"/>
  <c r="Q75" i="107"/>
  <c r="R72" i="107"/>
  <c r="P70" i="107"/>
  <c r="Q67" i="107"/>
  <c r="R64" i="107"/>
  <c r="P62" i="107"/>
  <c r="Q59" i="107"/>
  <c r="R56" i="107"/>
  <c r="P54" i="107"/>
  <c r="Q51" i="107"/>
  <c r="R48" i="107"/>
  <c r="P46" i="107"/>
  <c r="Q43" i="107"/>
  <c r="R40" i="107"/>
  <c r="P38" i="107"/>
  <c r="Q35" i="107"/>
  <c r="R32" i="107"/>
  <c r="P30" i="107"/>
  <c r="Q27" i="107"/>
  <c r="R24" i="107"/>
  <c r="P22" i="107"/>
  <c r="Q19" i="107"/>
  <c r="R16" i="107"/>
  <c r="P14" i="107"/>
  <c r="Q11" i="107"/>
  <c r="O107" i="107"/>
  <c r="O99" i="107"/>
  <c r="O91" i="107"/>
  <c r="O83" i="107"/>
  <c r="O75" i="107"/>
  <c r="O67" i="107"/>
  <c r="O59" i="107"/>
  <c r="O51" i="107"/>
  <c r="O43" i="107"/>
  <c r="O35" i="107"/>
  <c r="O27" i="107"/>
  <c r="O19" i="107"/>
  <c r="O11" i="107"/>
  <c r="P107" i="107"/>
  <c r="Q104" i="107"/>
  <c r="R101" i="107"/>
  <c r="P99" i="107"/>
  <c r="Q96" i="107"/>
  <c r="R93" i="107"/>
  <c r="P91" i="107"/>
  <c r="Q88" i="107"/>
  <c r="R85" i="107"/>
  <c r="P83" i="107"/>
  <c r="Q80" i="107"/>
  <c r="R77" i="107"/>
  <c r="P75" i="107"/>
  <c r="Q72" i="107"/>
  <c r="R69" i="107"/>
  <c r="P67" i="107"/>
  <c r="Q64" i="107"/>
  <c r="R61" i="107"/>
  <c r="P59" i="107"/>
  <c r="Q56" i="107"/>
  <c r="R53" i="107"/>
  <c r="P51" i="107"/>
  <c r="Q48" i="107"/>
  <c r="R45" i="107"/>
  <c r="P43" i="107"/>
  <c r="Q40" i="107"/>
  <c r="R37" i="107"/>
  <c r="P35" i="107"/>
  <c r="Q32" i="107"/>
  <c r="R29" i="107"/>
  <c r="P27" i="107"/>
  <c r="Q24" i="107"/>
  <c r="R21" i="107"/>
  <c r="P19" i="107"/>
  <c r="Q16" i="107"/>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S64" i="107" l="1"/>
  <c r="U64" i="107" s="1"/>
  <c r="S96" i="107"/>
  <c r="U96" i="107" s="1"/>
  <c r="AB10" i="107"/>
  <c r="AD10" i="107" s="1"/>
  <c r="AB8" i="107"/>
  <c r="AD8" i="107" s="1"/>
  <c r="AB9" i="107"/>
  <c r="AD9" i="107" s="1"/>
  <c r="S32" i="107"/>
  <c r="U32" i="107" s="1"/>
  <c r="S56" i="107"/>
  <c r="U56" i="107" s="1"/>
  <c r="S72" i="107"/>
  <c r="U72" i="107" s="1"/>
  <c r="S62" i="107"/>
  <c r="U62" i="107" s="1"/>
  <c r="S49" i="107"/>
  <c r="U49" i="107" s="1"/>
  <c r="S67" i="107"/>
  <c r="U67" i="107" s="1"/>
  <c r="S65" i="107"/>
  <c r="U65" i="107" s="1"/>
  <c r="S59" i="107"/>
  <c r="U59" i="107" s="1"/>
  <c r="S54" i="107"/>
  <c r="U54" i="107" s="1"/>
  <c r="S68" i="107"/>
  <c r="U68" i="107" s="1"/>
  <c r="S10" i="107"/>
  <c r="U10" i="107" s="1"/>
  <c r="S47" i="107"/>
  <c r="U47" i="107" s="1"/>
  <c r="S9" i="107"/>
  <c r="U9" i="107" s="1"/>
  <c r="S73" i="107"/>
  <c r="U73" i="107" s="1"/>
  <c r="S92" i="107"/>
  <c r="U92" i="107" s="1"/>
  <c r="S23" i="107"/>
  <c r="U23" i="107" s="1"/>
  <c r="S66" i="107"/>
  <c r="U66" i="107" s="1"/>
  <c r="S39" i="107"/>
  <c r="U39" i="107" s="1"/>
  <c r="S52" i="107"/>
  <c r="U52" i="107" s="1"/>
  <c r="S34" i="107"/>
  <c r="U34" i="107" s="1"/>
  <c r="S71" i="107"/>
  <c r="U71" i="107" s="1"/>
  <c r="S50" i="107"/>
  <c r="U50" i="107" s="1"/>
  <c r="S76" i="107"/>
  <c r="U76" i="107" s="1"/>
  <c r="S27" i="107"/>
  <c r="U27" i="107" s="1"/>
  <c r="S91" i="107"/>
  <c r="U91" i="107" s="1"/>
  <c r="S22" i="107"/>
  <c r="U22" i="107" s="1"/>
  <c r="S86" i="107"/>
  <c r="U86" i="107" s="1"/>
  <c r="S17" i="107"/>
  <c r="U17" i="107" s="1"/>
  <c r="S81" i="107"/>
  <c r="U81" i="107" s="1"/>
  <c r="S100" i="107"/>
  <c r="U100" i="107" s="1"/>
  <c r="S74" i="107"/>
  <c r="U74" i="107" s="1"/>
  <c r="S51" i="107"/>
  <c r="U51" i="107" s="1"/>
  <c r="S46" i="107"/>
  <c r="U46" i="107" s="1"/>
  <c r="S60" i="107"/>
  <c r="U60" i="107" s="1"/>
  <c r="S16" i="107"/>
  <c r="U16" i="107" s="1"/>
  <c r="S80" i="107"/>
  <c r="U80" i="107" s="1"/>
  <c r="S11" i="107"/>
  <c r="U11" i="107" s="1"/>
  <c r="S75" i="107"/>
  <c r="U75" i="107" s="1"/>
  <c r="S70" i="107"/>
  <c r="U70" i="107" s="1"/>
  <c r="S20" i="107"/>
  <c r="U20" i="107" s="1"/>
  <c r="S84" i="107"/>
  <c r="U84" i="107" s="1"/>
  <c r="S26" i="107"/>
  <c r="U26" i="107" s="1"/>
  <c r="S63" i="107"/>
  <c r="U63" i="107" s="1"/>
  <c r="S42" i="107"/>
  <c r="U42" i="107" s="1"/>
  <c r="S21" i="107"/>
  <c r="U21" i="107" s="1"/>
  <c r="S79" i="107"/>
  <c r="U79" i="107" s="1"/>
  <c r="S58" i="107"/>
  <c r="U58" i="107" s="1"/>
  <c r="S101" i="107"/>
  <c r="U101" i="107" s="1"/>
  <c r="S82" i="107"/>
  <c r="U82" i="107" s="1"/>
  <c r="S40" i="107"/>
  <c r="U40" i="107" s="1"/>
  <c r="S104" i="107"/>
  <c r="U104" i="107" s="1"/>
  <c r="S35" i="107"/>
  <c r="U35" i="107" s="1"/>
  <c r="S99" i="107"/>
  <c r="U99" i="107" s="1"/>
  <c r="S30" i="107"/>
  <c r="U30" i="107" s="1"/>
  <c r="S94" i="107"/>
  <c r="U94" i="107" s="1"/>
  <c r="S25" i="107"/>
  <c r="U25" i="107" s="1"/>
  <c r="S89" i="107"/>
  <c r="U89" i="107" s="1"/>
  <c r="S44" i="107"/>
  <c r="U44" i="107" s="1"/>
  <c r="S90" i="107"/>
  <c r="U90" i="107" s="1"/>
  <c r="S69" i="107"/>
  <c r="U69" i="107" s="1"/>
  <c r="S106" i="107"/>
  <c r="U106" i="107" s="1"/>
  <c r="S85" i="107"/>
  <c r="U85" i="107" s="1"/>
  <c r="S18" i="107"/>
  <c r="U18" i="107" s="1"/>
  <c r="S24" i="107"/>
  <c r="U24" i="107" s="1"/>
  <c r="S19" i="107"/>
  <c r="U19" i="107" s="1"/>
  <c r="S14" i="107"/>
  <c r="U14" i="107" s="1"/>
  <c r="S28" i="107"/>
  <c r="U28" i="107" s="1"/>
  <c r="S88" i="107"/>
  <c r="U88" i="107" s="1"/>
  <c r="S83" i="107"/>
  <c r="U83" i="107" s="1"/>
  <c r="S78" i="107"/>
  <c r="U78" i="107" s="1"/>
  <c r="S48" i="107"/>
  <c r="U48" i="107" s="1"/>
  <c r="S43" i="107"/>
  <c r="U43" i="107" s="1"/>
  <c r="S107" i="107"/>
  <c r="U107" i="107" s="1"/>
  <c r="S38" i="107"/>
  <c r="U38" i="107" s="1"/>
  <c r="S102" i="107"/>
  <c r="U102" i="107" s="1"/>
  <c r="S33" i="107"/>
  <c r="U33" i="107" s="1"/>
  <c r="S97" i="107"/>
  <c r="U97" i="107" s="1"/>
  <c r="S55" i="107"/>
  <c r="U55" i="107" s="1"/>
  <c r="S13" i="107"/>
  <c r="U13" i="107" s="1"/>
  <c r="S29" i="107"/>
  <c r="U29" i="107" s="1"/>
  <c r="S87" i="107"/>
  <c r="U87" i="107" s="1"/>
  <c r="S57" i="107"/>
  <c r="U57" i="107" s="1"/>
  <c r="S12" i="107"/>
  <c r="U12" i="107" s="1"/>
  <c r="S61" i="107"/>
  <c r="U61" i="107" s="1"/>
  <c r="S98" i="107"/>
  <c r="U98" i="107" s="1"/>
  <c r="S77" i="107"/>
  <c r="U77" i="107" s="1"/>
  <c r="S93" i="107"/>
  <c r="U93" i="107" s="1"/>
  <c r="S45" i="107"/>
  <c r="U45" i="107" s="1"/>
  <c r="S36" i="107"/>
  <c r="U36" i="107" s="1"/>
  <c r="S31" i="107"/>
  <c r="U31" i="107" s="1"/>
  <c r="S41" i="107"/>
  <c r="U41" i="107" s="1"/>
  <c r="S105" i="107"/>
  <c r="U105" i="107" s="1"/>
  <c r="S15" i="107"/>
  <c r="U15" i="107" s="1"/>
  <c r="S37" i="107"/>
  <c r="U37" i="107" s="1"/>
  <c r="S95" i="107"/>
  <c r="U95" i="107" s="1"/>
  <c r="S103" i="107"/>
  <c r="U103" i="107" s="1"/>
  <c r="S53" i="107"/>
  <c r="U53" i="107" s="1"/>
  <c r="X7" i="107"/>
  <c r="Y7" i="107"/>
  <c r="Z7" i="107"/>
  <c r="AA7" i="107"/>
  <c r="AB7" i="107" l="1"/>
  <c r="AD7" i="107" s="1"/>
  <c r="T11" i="67"/>
  <c r="AC8" i="107" s="1"/>
  <c r="T12" i="67"/>
  <c r="AC9" i="107" s="1"/>
  <c r="T13" i="67"/>
  <c r="AC10" i="107" s="1"/>
  <c r="T14" i="67"/>
  <c r="AC11" i="107" s="1"/>
  <c r="T15" i="67"/>
  <c r="AC12" i="107" s="1"/>
  <c r="T16" i="67"/>
  <c r="AC13" i="107" s="1"/>
  <c r="T17" i="67"/>
  <c r="AC14" i="107" s="1"/>
  <c r="T18" i="67"/>
  <c r="AC15" i="107" s="1"/>
  <c r="T19" i="67"/>
  <c r="AC16" i="107" s="1"/>
  <c r="T20" i="67"/>
  <c r="AC17" i="107" s="1"/>
  <c r="T21" i="67"/>
  <c r="AC18" i="107" s="1"/>
  <c r="T22" i="67"/>
  <c r="AC19" i="107" s="1"/>
  <c r="T23" i="67"/>
  <c r="AC20" i="107" s="1"/>
  <c r="T24" i="67"/>
  <c r="AC21" i="107" s="1"/>
  <c r="T25" i="67"/>
  <c r="AC22" i="107" s="1"/>
  <c r="T26" i="67"/>
  <c r="AC23" i="107" s="1"/>
  <c r="T27" i="67"/>
  <c r="AC24" i="107" s="1"/>
  <c r="T28" i="67"/>
  <c r="AC25" i="107" s="1"/>
  <c r="T29" i="67"/>
  <c r="AC26" i="107" s="1"/>
  <c r="T30" i="67"/>
  <c r="AC27" i="107" s="1"/>
  <c r="T31" i="67"/>
  <c r="AC28" i="107" s="1"/>
  <c r="T32" i="67"/>
  <c r="AC29" i="107" s="1"/>
  <c r="T33" i="67"/>
  <c r="AC30" i="107" s="1"/>
  <c r="T34" i="67"/>
  <c r="AC31" i="107" s="1"/>
  <c r="T35" i="67"/>
  <c r="AC32" i="107" s="1"/>
  <c r="T36" i="67"/>
  <c r="AC33" i="107" s="1"/>
  <c r="T37" i="67"/>
  <c r="AC34" i="107" s="1"/>
  <c r="T38" i="67"/>
  <c r="AC35" i="107" s="1"/>
  <c r="T39" i="67"/>
  <c r="AC36" i="107" s="1"/>
  <c r="T40" i="67"/>
  <c r="AC37" i="107" s="1"/>
  <c r="T41" i="67"/>
  <c r="AC38" i="107" s="1"/>
  <c r="T42" i="67"/>
  <c r="AC39" i="107" s="1"/>
  <c r="T43" i="67"/>
  <c r="AC40" i="107" s="1"/>
  <c r="T44" i="67"/>
  <c r="AC41" i="107" s="1"/>
  <c r="T45" i="67"/>
  <c r="AC42" i="107" s="1"/>
  <c r="T46" i="67"/>
  <c r="AC43" i="107" s="1"/>
  <c r="T47" i="67"/>
  <c r="AC44" i="107" s="1"/>
  <c r="T48" i="67"/>
  <c r="AC45" i="107" s="1"/>
  <c r="T49" i="67"/>
  <c r="AC46" i="107" s="1"/>
  <c r="T50" i="67"/>
  <c r="AC47" i="107" s="1"/>
  <c r="T51" i="67"/>
  <c r="AC48" i="107" s="1"/>
  <c r="T52" i="67"/>
  <c r="AC49" i="107" s="1"/>
  <c r="T53" i="67"/>
  <c r="AC50" i="107" s="1"/>
  <c r="T54" i="67"/>
  <c r="AC51" i="107" s="1"/>
  <c r="T55" i="67"/>
  <c r="AC52" i="107" s="1"/>
  <c r="T56" i="67"/>
  <c r="AC53" i="107" s="1"/>
  <c r="T57" i="67"/>
  <c r="AC54" i="107" s="1"/>
  <c r="T58" i="67"/>
  <c r="AC55" i="107" s="1"/>
  <c r="T59" i="67"/>
  <c r="AC56" i="107" s="1"/>
  <c r="T60" i="67"/>
  <c r="AC57" i="107" s="1"/>
  <c r="T61" i="67"/>
  <c r="AC58" i="107" s="1"/>
  <c r="T62" i="67"/>
  <c r="AC59" i="107" s="1"/>
  <c r="T63" i="67"/>
  <c r="AC60" i="107" s="1"/>
  <c r="T64" i="67"/>
  <c r="AC61" i="107" s="1"/>
  <c r="T65" i="67"/>
  <c r="AC62" i="107" s="1"/>
  <c r="T66" i="67"/>
  <c r="AC63" i="107" s="1"/>
  <c r="T67" i="67"/>
  <c r="AC64" i="107" s="1"/>
  <c r="T68" i="67"/>
  <c r="AC65" i="107" s="1"/>
  <c r="T69" i="67"/>
  <c r="AC66" i="107" s="1"/>
  <c r="T70" i="67"/>
  <c r="AC67" i="107" s="1"/>
  <c r="T71" i="67"/>
  <c r="AC68" i="107" s="1"/>
  <c r="T72" i="67"/>
  <c r="AC69" i="107" s="1"/>
  <c r="T73" i="67"/>
  <c r="AC70" i="107" s="1"/>
  <c r="T74" i="67"/>
  <c r="AC71" i="107" s="1"/>
  <c r="T75" i="67"/>
  <c r="AC72" i="107" s="1"/>
  <c r="T76" i="67"/>
  <c r="AC73" i="107" s="1"/>
  <c r="T77" i="67"/>
  <c r="AC74" i="107" s="1"/>
  <c r="T78" i="67"/>
  <c r="AC75" i="107" s="1"/>
  <c r="T79" i="67"/>
  <c r="AC76" i="107" s="1"/>
  <c r="T80" i="67"/>
  <c r="AC77" i="107" s="1"/>
  <c r="T81" i="67"/>
  <c r="AC78" i="107" s="1"/>
  <c r="T82" i="67"/>
  <c r="AC79" i="107" s="1"/>
  <c r="T83" i="67"/>
  <c r="AC80" i="107" s="1"/>
  <c r="T84" i="67"/>
  <c r="AC81" i="107" s="1"/>
  <c r="T85" i="67"/>
  <c r="AC82" i="107" s="1"/>
  <c r="T86" i="67"/>
  <c r="AC83" i="107" s="1"/>
  <c r="T87" i="67"/>
  <c r="AC84" i="107" s="1"/>
  <c r="T88" i="67"/>
  <c r="AC85" i="107" s="1"/>
  <c r="T89" i="67"/>
  <c r="AC86" i="107" s="1"/>
  <c r="T90" i="67"/>
  <c r="AC87" i="107" s="1"/>
  <c r="T91" i="67"/>
  <c r="AC88" i="107" s="1"/>
  <c r="T92" i="67"/>
  <c r="AC89" i="107" s="1"/>
  <c r="T93" i="67"/>
  <c r="AC90" i="107" s="1"/>
  <c r="T94" i="67"/>
  <c r="AC91" i="107" s="1"/>
  <c r="T95" i="67"/>
  <c r="AC92" i="107" s="1"/>
  <c r="T96" i="67"/>
  <c r="AC93" i="107" s="1"/>
  <c r="T97" i="67"/>
  <c r="AC94" i="107" s="1"/>
  <c r="T98" i="67"/>
  <c r="AC95" i="107" s="1"/>
  <c r="T99" i="67"/>
  <c r="AC96" i="107" s="1"/>
  <c r="T100" i="67"/>
  <c r="AC97" i="107" s="1"/>
  <c r="T101" i="67"/>
  <c r="AC98" i="107" s="1"/>
  <c r="T102" i="67"/>
  <c r="AC99" i="107" s="1"/>
  <c r="T103" i="67"/>
  <c r="AC100" i="107" s="1"/>
  <c r="T104" i="67"/>
  <c r="AC101" i="107" s="1"/>
  <c r="T105" i="67"/>
  <c r="AC102" i="107" s="1"/>
  <c r="T106" i="67"/>
  <c r="AC103" i="107" s="1"/>
  <c r="T107" i="67"/>
  <c r="AC104" i="107" s="1"/>
  <c r="T108" i="67"/>
  <c r="AC105" i="107" s="1"/>
  <c r="T109" i="67"/>
  <c r="AC106" i="107" s="1"/>
  <c r="T110" i="67"/>
  <c r="AC107" i="107" s="1"/>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l="1"/>
  <c r="P8" i="107"/>
  <c r="Q8" i="107"/>
  <c r="R8" i="107"/>
  <c r="C9" i="107"/>
  <c r="H9" i="107"/>
  <c r="F9" i="107"/>
  <c r="F8" i="107"/>
  <c r="F7" i="107"/>
  <c r="S8" i="107" l="1"/>
  <c r="U8" i="107" s="1"/>
  <c r="Q257" i="67"/>
  <c r="E80" i="28"/>
  <c r="D80" i="28"/>
  <c r="C80" i="28"/>
  <c r="B80" i="28"/>
  <c r="A80" i="28"/>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0" i="46"/>
  <c r="W151" i="46"/>
  <c r="W152" i="46"/>
  <c r="W153" i="46"/>
  <c r="W154" i="46"/>
  <c r="W155" i="46"/>
  <c r="W156" i="46"/>
  <c r="W157" i="46"/>
  <c r="W158" i="46"/>
  <c r="W159" i="46"/>
  <c r="W160" i="46"/>
  <c r="W161" i="46"/>
  <c r="W162" i="46"/>
  <c r="W163" i="46"/>
  <c r="W164" i="46"/>
  <c r="W165" i="46"/>
  <c r="W166" i="46"/>
  <c r="W167" i="46"/>
  <c r="W168" i="46"/>
  <c r="W169" i="46"/>
  <c r="W170" i="46"/>
  <c r="W171" i="46"/>
  <c r="W172" i="46"/>
  <c r="W173" i="46"/>
  <c r="W174" i="46"/>
  <c r="W175" i="46"/>
  <c r="W176" i="46"/>
  <c r="W177" i="46"/>
  <c r="W178" i="46"/>
  <c r="W179" i="46"/>
  <c r="W180" i="46"/>
  <c r="W181" i="46"/>
  <c r="W182" i="46"/>
  <c r="W183" i="46"/>
  <c r="W184" i="46"/>
  <c r="W185" i="46"/>
  <c r="W186" i="46"/>
  <c r="W187" i="46"/>
  <c r="W188" i="46"/>
  <c r="W189" i="46"/>
  <c r="W190" i="46"/>
  <c r="W191" i="46"/>
  <c r="W192" i="46"/>
  <c r="W193" i="46"/>
  <c r="W194" i="46"/>
  <c r="W195" i="46"/>
  <c r="W196" i="46"/>
  <c r="W197" i="46"/>
  <c r="W198" i="46"/>
  <c r="W199" i="46"/>
  <c r="W200" i="46"/>
  <c r="W201" i="46"/>
  <c r="W202" i="46"/>
  <c r="W203" i="46"/>
  <c r="W204" i="46"/>
  <c r="W205" i="46"/>
  <c r="W206" i="46"/>
  <c r="W207" i="46"/>
  <c r="W208" i="46"/>
  <c r="W209" i="46"/>
  <c r="W210" i="46"/>
  <c r="W211" i="46"/>
  <c r="W212" i="46"/>
  <c r="W213" i="46"/>
  <c r="W214" i="46"/>
  <c r="W215" i="46"/>
  <c r="W216" i="46"/>
  <c r="W217" i="46"/>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l="1"/>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s="1"/>
  <c r="AJ259" i="65" l="1"/>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l="1" a="1"/>
  <c r="B58" i="73" s="1"/>
  <c r="F2" i="73" s="1"/>
  <c r="I6" i="11" l="1" a="1"/>
  <c r="I6" i="11" s="1"/>
  <c r="S36" i="106"/>
  <c r="W35" i="106"/>
  <c r="I54" i="106"/>
  <c r="I47" i="106"/>
  <c r="I49" i="106"/>
  <c r="I48" i="106"/>
  <c r="I46" i="106"/>
  <c r="I42" i="106"/>
  <c r="I44" i="106"/>
  <c r="I43" i="106"/>
  <c r="T13" i="53" l="1"/>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0" i="46"/>
  <c r="R151" i="46"/>
  <c r="R152" i="46"/>
  <c r="R153" i="46"/>
  <c r="R154" i="46"/>
  <c r="R155" i="46"/>
  <c r="R156" i="46"/>
  <c r="R157" i="46"/>
  <c r="R158" i="46"/>
  <c r="R159" i="46"/>
  <c r="R160" i="46"/>
  <c r="R161" i="46"/>
  <c r="R162" i="46"/>
  <c r="R163" i="46"/>
  <c r="R164" i="46"/>
  <c r="R165" i="46"/>
  <c r="R166" i="46"/>
  <c r="R167" i="46"/>
  <c r="R168" i="46"/>
  <c r="R169" i="46"/>
  <c r="R170" i="46"/>
  <c r="R171" i="46"/>
  <c r="R172" i="46"/>
  <c r="R173" i="46"/>
  <c r="R174" i="46"/>
  <c r="R175" i="46"/>
  <c r="R176" i="46"/>
  <c r="R177" i="46"/>
  <c r="R178" i="46"/>
  <c r="R179" i="46"/>
  <c r="R180" i="46"/>
  <c r="R181" i="46"/>
  <c r="R182" i="46"/>
  <c r="R183" i="46"/>
  <c r="R184" i="46"/>
  <c r="R185" i="46"/>
  <c r="R186" i="46"/>
  <c r="R187" i="46"/>
  <c r="R188" i="46"/>
  <c r="R189" i="46"/>
  <c r="R190" i="46"/>
  <c r="R191" i="46"/>
  <c r="R192" i="46"/>
  <c r="R193" i="46"/>
  <c r="R194" i="46"/>
  <c r="R195" i="46"/>
  <c r="R196" i="46"/>
  <c r="R197" i="46"/>
  <c r="R198" i="46"/>
  <c r="R199" i="46"/>
  <c r="R200" i="46"/>
  <c r="R201" i="46"/>
  <c r="R202" i="46"/>
  <c r="R203" i="46"/>
  <c r="R204" i="46"/>
  <c r="R205" i="46"/>
  <c r="R206" i="46"/>
  <c r="R207" i="46"/>
  <c r="R208" i="46"/>
  <c r="R209" i="46"/>
  <c r="R210" i="46"/>
  <c r="R211" i="46"/>
  <c r="R212" i="46"/>
  <c r="R213" i="46"/>
  <c r="R214" i="46"/>
  <c r="R215" i="46"/>
  <c r="R216" i="46"/>
  <c r="R217" i="46"/>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l="1"/>
  <c r="I262" i="71"/>
  <c r="J264" i="59"/>
  <c r="I264" i="59"/>
  <c r="I262" i="46"/>
  <c r="H262" i="46"/>
  <c r="J265" i="11"/>
  <c r="I265" i="11" l="1"/>
  <c r="F11" i="46"/>
  <c r="F12" i="46"/>
  <c r="F13" i="46"/>
  <c r="F14" i="46"/>
  <c r="F15" i="46"/>
  <c r="F16" i="46"/>
  <c r="F17" i="46"/>
  <c r="U17" i="46" s="1"/>
  <c r="F18" i="46"/>
  <c r="F19" i="46"/>
  <c r="F20" i="46"/>
  <c r="F21" i="46"/>
  <c r="F22" i="46"/>
  <c r="F23" i="46"/>
  <c r="F24" i="46"/>
  <c r="U24" i="46" s="1"/>
  <c r="F25" i="46"/>
  <c r="H25" i="46" s="1"/>
  <c r="F26" i="46"/>
  <c r="F27" i="46"/>
  <c r="F28" i="46"/>
  <c r="F29" i="46"/>
  <c r="F30" i="46"/>
  <c r="F31" i="46"/>
  <c r="F32" i="46"/>
  <c r="U32" i="46" s="1"/>
  <c r="F33" i="46"/>
  <c r="H33" i="46" s="1"/>
  <c r="F34" i="46"/>
  <c r="F35" i="46"/>
  <c r="C11" i="46"/>
  <c r="C12" i="46"/>
  <c r="C13" i="46"/>
  <c r="F16" i="63"/>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s="1"/>
  <c r="G13" i="59"/>
  <c r="P13" i="59" s="1"/>
  <c r="G14" i="59"/>
  <c r="P14" i="59" s="1"/>
  <c r="G15" i="59"/>
  <c r="P15" i="59" s="1"/>
  <c r="G16" i="59"/>
  <c r="P16" i="59" s="1"/>
  <c r="Q16" i="59" s="1"/>
  <c r="G17" i="59"/>
  <c r="P17" i="59" s="1"/>
  <c r="Q17" i="59" s="1"/>
  <c r="G18" i="59"/>
  <c r="P18" i="59" s="1"/>
  <c r="Q18" i="59" s="1"/>
  <c r="G19" i="59"/>
  <c r="P19" i="59" s="1"/>
  <c r="Q19" i="59" s="1"/>
  <c r="G20" i="59"/>
  <c r="P20" i="59" s="1"/>
  <c r="Q20" i="59" s="1"/>
  <c r="G21" i="59"/>
  <c r="P21" i="59" s="1"/>
  <c r="Q21" i="59" s="1"/>
  <c r="G22" i="59"/>
  <c r="P22" i="59" s="1"/>
  <c r="Q22" i="59" s="1"/>
  <c r="G23" i="59"/>
  <c r="P23" i="59" s="1"/>
  <c r="Q23" i="59" s="1"/>
  <c r="G24" i="59"/>
  <c r="P24" i="59" s="1"/>
  <c r="Q24" i="59" s="1"/>
  <c r="G25" i="59"/>
  <c r="P25" i="59" s="1"/>
  <c r="Q25" i="59" s="1"/>
  <c r="G26" i="59"/>
  <c r="P26" i="59" s="1"/>
  <c r="Q26" i="59" s="1"/>
  <c r="G27" i="59"/>
  <c r="P27" i="59" s="1"/>
  <c r="Q27" i="59" s="1"/>
  <c r="G28" i="59"/>
  <c r="P28" i="59" s="1"/>
  <c r="Q28" i="59" s="1"/>
  <c r="G29" i="59"/>
  <c r="P29" i="59" s="1"/>
  <c r="Q29" i="59" s="1"/>
  <c r="G30" i="59"/>
  <c r="P30" i="59" s="1"/>
  <c r="Q30" i="59" s="1"/>
  <c r="G31" i="59"/>
  <c r="P31" i="59" s="1"/>
  <c r="Q31" i="59" s="1"/>
  <c r="G32" i="59"/>
  <c r="P32" i="59" s="1"/>
  <c r="Q32" i="59" s="1"/>
  <c r="G33" i="59"/>
  <c r="P33" i="59" s="1"/>
  <c r="Q33" i="59" s="1"/>
  <c r="G34" i="59"/>
  <c r="P34" i="59" s="1"/>
  <c r="Q34" i="59" s="1"/>
  <c r="G35" i="59"/>
  <c r="P35" i="59" s="1"/>
  <c r="Q35" i="59" s="1"/>
  <c r="G36" i="59"/>
  <c r="P36" i="59" s="1"/>
  <c r="Q36" i="59" s="1"/>
  <c r="G37" i="59"/>
  <c r="P37" i="59" s="1"/>
  <c r="Q37" i="59" s="1"/>
  <c r="G38" i="59"/>
  <c r="P38" i="59" s="1"/>
  <c r="Q38" i="59" s="1"/>
  <c r="G39" i="59"/>
  <c r="P39" i="59" s="1"/>
  <c r="Q39" i="59" s="1"/>
  <c r="G40" i="59"/>
  <c r="P40" i="59" s="1"/>
  <c r="Q40" i="59" s="1"/>
  <c r="G41" i="59"/>
  <c r="P41" i="59" s="1"/>
  <c r="Q41" i="59" s="1"/>
  <c r="G42" i="59"/>
  <c r="P42" i="59" s="1"/>
  <c r="Q42" i="59" s="1"/>
  <c r="G43" i="59"/>
  <c r="P43" i="59" s="1"/>
  <c r="Q43" i="59" s="1"/>
  <c r="G44" i="59"/>
  <c r="P44" i="59" s="1"/>
  <c r="Q44" i="59" s="1"/>
  <c r="G45" i="59"/>
  <c r="P45" i="59" s="1"/>
  <c r="Q45" i="59" s="1"/>
  <c r="G46" i="59"/>
  <c r="P46" i="59" s="1"/>
  <c r="Q46" i="59" s="1"/>
  <c r="G47" i="59"/>
  <c r="P47" i="59" s="1"/>
  <c r="Q47" i="59" s="1"/>
  <c r="G48" i="59"/>
  <c r="P48" i="59" s="1"/>
  <c r="Q48" i="59" s="1"/>
  <c r="G49" i="59"/>
  <c r="P49" i="59" s="1"/>
  <c r="Q49" i="59" s="1"/>
  <c r="G50" i="59"/>
  <c r="P50" i="59" s="1"/>
  <c r="Q50" i="59" s="1"/>
  <c r="G51" i="59"/>
  <c r="P51" i="59" s="1"/>
  <c r="Q51" i="59" s="1"/>
  <c r="G52" i="59"/>
  <c r="P52" i="59" s="1"/>
  <c r="Q52" i="59" s="1"/>
  <c r="G53" i="59"/>
  <c r="P53" i="59" s="1"/>
  <c r="Q53" i="59" s="1"/>
  <c r="G54" i="59"/>
  <c r="P54" i="59" s="1"/>
  <c r="Q54" i="59" s="1"/>
  <c r="G55" i="59"/>
  <c r="P55" i="59" s="1"/>
  <c r="Q55" i="59" s="1"/>
  <c r="G56" i="59"/>
  <c r="P56" i="59" s="1"/>
  <c r="Q56" i="59" s="1"/>
  <c r="G57" i="59"/>
  <c r="P57" i="59" s="1"/>
  <c r="Q57" i="59" s="1"/>
  <c r="G58" i="59"/>
  <c r="P58" i="59" s="1"/>
  <c r="Q58" i="59" s="1"/>
  <c r="G59" i="59"/>
  <c r="P59" i="59" s="1"/>
  <c r="Q59" i="59" s="1"/>
  <c r="G60" i="59"/>
  <c r="P60" i="59" s="1"/>
  <c r="Q60" i="59" s="1"/>
  <c r="G61" i="59"/>
  <c r="P61" i="59" s="1"/>
  <c r="Q61" i="59" s="1"/>
  <c r="G62" i="59"/>
  <c r="P62" i="59" s="1"/>
  <c r="Q62" i="59" s="1"/>
  <c r="G63" i="59"/>
  <c r="P63" i="59" s="1"/>
  <c r="Q63" i="59" s="1"/>
  <c r="G64" i="59"/>
  <c r="P64" i="59" s="1"/>
  <c r="Q64" i="59" s="1"/>
  <c r="G65" i="59"/>
  <c r="P65" i="59" s="1"/>
  <c r="Q65" i="59" s="1"/>
  <c r="G66" i="59"/>
  <c r="P66" i="59" s="1"/>
  <c r="Q66" i="59" s="1"/>
  <c r="G67" i="59"/>
  <c r="P67" i="59" s="1"/>
  <c r="Q67" i="59" s="1"/>
  <c r="G68" i="59"/>
  <c r="P68" i="59" s="1"/>
  <c r="Q68" i="59" s="1"/>
  <c r="G69" i="59"/>
  <c r="P69" i="59" s="1"/>
  <c r="Q69" i="59" s="1"/>
  <c r="G70" i="59"/>
  <c r="P70" i="59" s="1"/>
  <c r="Q70" i="59" s="1"/>
  <c r="G71" i="59"/>
  <c r="P71" i="59" s="1"/>
  <c r="Q71" i="59" s="1"/>
  <c r="G72" i="59"/>
  <c r="P72" i="59" s="1"/>
  <c r="Q72" i="59" s="1"/>
  <c r="G73" i="59"/>
  <c r="P73" i="59" s="1"/>
  <c r="Q73" i="59" s="1"/>
  <c r="G74" i="59"/>
  <c r="P74" i="59" s="1"/>
  <c r="Q74" i="59" s="1"/>
  <c r="G75" i="59"/>
  <c r="P75" i="59" s="1"/>
  <c r="Q75" i="59" s="1"/>
  <c r="G76" i="59"/>
  <c r="P76" i="59" s="1"/>
  <c r="Q76" i="59" s="1"/>
  <c r="G77" i="59"/>
  <c r="P77" i="59" s="1"/>
  <c r="Q77" i="59" s="1"/>
  <c r="G78" i="59"/>
  <c r="P78" i="59" s="1"/>
  <c r="Q78" i="59" s="1"/>
  <c r="G79" i="59"/>
  <c r="P79" i="59" s="1"/>
  <c r="Q79" i="59" s="1"/>
  <c r="G80" i="59"/>
  <c r="P80" i="59" s="1"/>
  <c r="Q80" i="59" s="1"/>
  <c r="G81" i="59"/>
  <c r="P81" i="59" s="1"/>
  <c r="Q81" i="59" s="1"/>
  <c r="G82" i="59"/>
  <c r="P82" i="59" s="1"/>
  <c r="Q82" i="59" s="1"/>
  <c r="G83" i="59"/>
  <c r="P83" i="59" s="1"/>
  <c r="Q83" i="59" s="1"/>
  <c r="G84" i="59"/>
  <c r="P84" i="59" s="1"/>
  <c r="Q84" i="59" s="1"/>
  <c r="G85" i="59"/>
  <c r="P85" i="59" s="1"/>
  <c r="Q85" i="59" s="1"/>
  <c r="G86" i="59"/>
  <c r="P86" i="59" s="1"/>
  <c r="Q86" i="59" s="1"/>
  <c r="G87" i="59"/>
  <c r="P87" i="59" s="1"/>
  <c r="Q87" i="59" s="1"/>
  <c r="G88" i="59"/>
  <c r="P88" i="59" s="1"/>
  <c r="Q88" i="59" s="1"/>
  <c r="G89" i="59"/>
  <c r="P89" i="59" s="1"/>
  <c r="Q89" i="59" s="1"/>
  <c r="G90" i="59"/>
  <c r="P90" i="59" s="1"/>
  <c r="Q90" i="59" s="1"/>
  <c r="G91" i="59"/>
  <c r="P91" i="59" s="1"/>
  <c r="Q91" i="59" s="1"/>
  <c r="G92" i="59"/>
  <c r="P92" i="59" s="1"/>
  <c r="Q92" i="59" s="1"/>
  <c r="G93" i="59"/>
  <c r="P93" i="59" s="1"/>
  <c r="Q93" i="59" s="1"/>
  <c r="G94" i="59"/>
  <c r="P94" i="59" s="1"/>
  <c r="Q94" i="59" s="1"/>
  <c r="G95" i="59"/>
  <c r="P95" i="59" s="1"/>
  <c r="Q95" i="59" s="1"/>
  <c r="G96" i="59"/>
  <c r="P96" i="59" s="1"/>
  <c r="Q96" i="59" s="1"/>
  <c r="G97" i="59"/>
  <c r="P97" i="59" s="1"/>
  <c r="Q97" i="59" s="1"/>
  <c r="G98" i="59"/>
  <c r="P98" i="59" s="1"/>
  <c r="Q98" i="59" s="1"/>
  <c r="G99" i="59"/>
  <c r="P99" i="59" s="1"/>
  <c r="Q99" i="59" s="1"/>
  <c r="G100" i="59"/>
  <c r="P100" i="59" s="1"/>
  <c r="Q100" i="59" s="1"/>
  <c r="G101" i="59"/>
  <c r="P101" i="59" s="1"/>
  <c r="Q101" i="59" s="1"/>
  <c r="G102" i="59"/>
  <c r="P102" i="59" s="1"/>
  <c r="Q102" i="59" s="1"/>
  <c r="G103" i="59"/>
  <c r="P103" i="59" s="1"/>
  <c r="Q103" i="59" s="1"/>
  <c r="G104" i="59"/>
  <c r="P104" i="59" s="1"/>
  <c r="Q104" i="59" s="1"/>
  <c r="G105" i="59"/>
  <c r="P105" i="59" s="1"/>
  <c r="Q105" i="59" s="1"/>
  <c r="G106" i="59"/>
  <c r="P106" i="59" s="1"/>
  <c r="Q106" i="59" s="1"/>
  <c r="G107" i="59"/>
  <c r="P107" i="59" s="1"/>
  <c r="Q107" i="59" s="1"/>
  <c r="G108" i="59"/>
  <c r="P108" i="59" s="1"/>
  <c r="Q108" i="59" s="1"/>
  <c r="G109" i="59"/>
  <c r="P109" i="59" s="1"/>
  <c r="Q109" i="59" s="1"/>
  <c r="G110" i="59"/>
  <c r="P110" i="59" s="1"/>
  <c r="Q110" i="59" s="1"/>
  <c r="G111" i="59"/>
  <c r="P111" i="59" s="1"/>
  <c r="Q111" i="59" s="1"/>
  <c r="G112" i="59"/>
  <c r="P112" i="59" s="1"/>
  <c r="Q112" i="59" s="1"/>
  <c r="G113" i="59"/>
  <c r="P113" i="59" s="1"/>
  <c r="Q113" i="59" s="1"/>
  <c r="G114" i="59"/>
  <c r="P114" i="59" s="1"/>
  <c r="Q114" i="59" s="1"/>
  <c r="G115" i="59"/>
  <c r="P115" i="59" s="1"/>
  <c r="Q115" i="59" s="1"/>
  <c r="G116" i="59"/>
  <c r="P116" i="59" s="1"/>
  <c r="Q116" i="59" s="1"/>
  <c r="G117" i="59"/>
  <c r="P117" i="59" s="1"/>
  <c r="Q117" i="59" s="1"/>
  <c r="G118" i="59"/>
  <c r="P118" i="59" s="1"/>
  <c r="Q118" i="59" s="1"/>
  <c r="G119" i="59"/>
  <c r="P119" i="59" s="1"/>
  <c r="Q119" i="59" s="1"/>
  <c r="G120" i="59"/>
  <c r="P120" i="59" s="1"/>
  <c r="Q120" i="59" s="1"/>
  <c r="G121" i="59"/>
  <c r="P121" i="59" s="1"/>
  <c r="Q121" i="59" s="1"/>
  <c r="G122" i="59"/>
  <c r="P122" i="59" s="1"/>
  <c r="Q122" i="59" s="1"/>
  <c r="G123" i="59"/>
  <c r="P123" i="59" s="1"/>
  <c r="Q123" i="59" s="1"/>
  <c r="G124" i="59"/>
  <c r="P124" i="59" s="1"/>
  <c r="Q124" i="59" s="1"/>
  <c r="G125" i="59"/>
  <c r="P125" i="59" s="1"/>
  <c r="Q125" i="59" s="1"/>
  <c r="G126" i="59"/>
  <c r="P126" i="59" s="1"/>
  <c r="Q126" i="59" s="1"/>
  <c r="G127" i="59"/>
  <c r="P127" i="59" s="1"/>
  <c r="Q127" i="59" s="1"/>
  <c r="G128" i="59"/>
  <c r="P128" i="59" s="1"/>
  <c r="Q128" i="59" s="1"/>
  <c r="G129" i="59"/>
  <c r="P129" i="59" s="1"/>
  <c r="Q129" i="59" s="1"/>
  <c r="G130" i="59"/>
  <c r="P130" i="59" s="1"/>
  <c r="Q130" i="59" s="1"/>
  <c r="G131" i="59"/>
  <c r="P131" i="59" s="1"/>
  <c r="Q131" i="59" s="1"/>
  <c r="G132" i="59"/>
  <c r="P132" i="59" s="1"/>
  <c r="Q132" i="59" s="1"/>
  <c r="G133" i="59"/>
  <c r="P133" i="59" s="1"/>
  <c r="Q133" i="59" s="1"/>
  <c r="G134" i="59"/>
  <c r="P134" i="59" s="1"/>
  <c r="Q134" i="59" s="1"/>
  <c r="G135" i="59"/>
  <c r="P135" i="59" s="1"/>
  <c r="Q135" i="59" s="1"/>
  <c r="G136" i="59"/>
  <c r="P136" i="59" s="1"/>
  <c r="Q136" i="59" s="1"/>
  <c r="G137" i="59"/>
  <c r="P137" i="59" s="1"/>
  <c r="Q137" i="59" s="1"/>
  <c r="G138" i="59"/>
  <c r="P138" i="59" s="1"/>
  <c r="Q138" i="59" s="1"/>
  <c r="G139" i="59"/>
  <c r="P139" i="59" s="1"/>
  <c r="Q139" i="59" s="1"/>
  <c r="G140" i="59"/>
  <c r="P140" i="59" s="1"/>
  <c r="Q140" i="59" s="1"/>
  <c r="G141" i="59"/>
  <c r="P141" i="59" s="1"/>
  <c r="Q141" i="59" s="1"/>
  <c r="G142" i="59"/>
  <c r="P142" i="59" s="1"/>
  <c r="Q142" i="59" s="1"/>
  <c r="G143" i="59"/>
  <c r="P143" i="59" s="1"/>
  <c r="Q143" i="59" s="1"/>
  <c r="G144" i="59"/>
  <c r="P144" i="59" s="1"/>
  <c r="Q144" i="59" s="1"/>
  <c r="G145" i="59"/>
  <c r="P145" i="59" s="1"/>
  <c r="Q145" i="59" s="1"/>
  <c r="G146" i="59"/>
  <c r="P146" i="59" s="1"/>
  <c r="Q146" i="59" s="1"/>
  <c r="G147" i="59"/>
  <c r="P147" i="59" s="1"/>
  <c r="Q147" i="59" s="1"/>
  <c r="G148" i="59"/>
  <c r="P148" i="59" s="1"/>
  <c r="Q148" i="59" s="1"/>
  <c r="G149" i="59"/>
  <c r="P149" i="59" s="1"/>
  <c r="Q149" i="59" s="1"/>
  <c r="G150" i="59"/>
  <c r="P150" i="59" s="1"/>
  <c r="Q150" i="59" s="1"/>
  <c r="G151" i="59"/>
  <c r="P151" i="59" s="1"/>
  <c r="Q151" i="59" s="1"/>
  <c r="G152" i="59"/>
  <c r="P152" i="59" s="1"/>
  <c r="Q152" i="59" s="1"/>
  <c r="G153" i="59"/>
  <c r="P153" i="59" s="1"/>
  <c r="Q153" i="59" s="1"/>
  <c r="G154" i="59"/>
  <c r="P154" i="59" s="1"/>
  <c r="Q154" i="59" s="1"/>
  <c r="G155" i="59"/>
  <c r="P155" i="59" s="1"/>
  <c r="Q155" i="59" s="1"/>
  <c r="G156" i="59"/>
  <c r="P156" i="59" s="1"/>
  <c r="Q156" i="59" s="1"/>
  <c r="G157" i="59"/>
  <c r="P157" i="59" s="1"/>
  <c r="Q157" i="59" s="1"/>
  <c r="G158" i="59"/>
  <c r="P158" i="59" s="1"/>
  <c r="Q158" i="59" s="1"/>
  <c r="G159" i="59"/>
  <c r="P159" i="59" s="1"/>
  <c r="Q159" i="59" s="1"/>
  <c r="G160" i="59"/>
  <c r="P160" i="59" s="1"/>
  <c r="Q160" i="59" s="1"/>
  <c r="G161" i="59"/>
  <c r="P161" i="59" s="1"/>
  <c r="Q161" i="59" s="1"/>
  <c r="G162" i="59"/>
  <c r="P162" i="59" s="1"/>
  <c r="Q162" i="59" s="1"/>
  <c r="G163" i="59"/>
  <c r="P163" i="59" s="1"/>
  <c r="Q163" i="59" s="1"/>
  <c r="G164" i="59"/>
  <c r="P164" i="59" s="1"/>
  <c r="Q164" i="59" s="1"/>
  <c r="G165" i="59"/>
  <c r="P165" i="59" s="1"/>
  <c r="Q165" i="59" s="1"/>
  <c r="G166" i="59"/>
  <c r="P166" i="59" s="1"/>
  <c r="Q166" i="59" s="1"/>
  <c r="G167" i="59"/>
  <c r="P167" i="59" s="1"/>
  <c r="Q167" i="59" s="1"/>
  <c r="G168" i="59"/>
  <c r="P168" i="59" s="1"/>
  <c r="Q168" i="59" s="1"/>
  <c r="G169" i="59"/>
  <c r="P169" i="59" s="1"/>
  <c r="Q169" i="59" s="1"/>
  <c r="G170" i="59"/>
  <c r="P170" i="59" s="1"/>
  <c r="Q170" i="59" s="1"/>
  <c r="G171" i="59"/>
  <c r="P171" i="59" s="1"/>
  <c r="Q171" i="59" s="1"/>
  <c r="G172" i="59"/>
  <c r="P172" i="59" s="1"/>
  <c r="Q172" i="59" s="1"/>
  <c r="G173" i="59"/>
  <c r="P173" i="59" s="1"/>
  <c r="Q173" i="59" s="1"/>
  <c r="G174" i="59"/>
  <c r="P174" i="59" s="1"/>
  <c r="Q174" i="59" s="1"/>
  <c r="G175" i="59"/>
  <c r="P175" i="59" s="1"/>
  <c r="Q175" i="59" s="1"/>
  <c r="G176" i="59"/>
  <c r="P176" i="59" s="1"/>
  <c r="Q176" i="59" s="1"/>
  <c r="G177" i="59"/>
  <c r="P177" i="59" s="1"/>
  <c r="Q177" i="59" s="1"/>
  <c r="G178" i="59"/>
  <c r="P178" i="59" s="1"/>
  <c r="Q178" i="59" s="1"/>
  <c r="G179" i="59"/>
  <c r="P179" i="59" s="1"/>
  <c r="Q179" i="59" s="1"/>
  <c r="G180" i="59"/>
  <c r="P180" i="59" s="1"/>
  <c r="Q180" i="59" s="1"/>
  <c r="G181" i="59"/>
  <c r="P181" i="59" s="1"/>
  <c r="Q181" i="59" s="1"/>
  <c r="G182" i="59"/>
  <c r="P182" i="59" s="1"/>
  <c r="Q182" i="59" s="1"/>
  <c r="G183" i="59"/>
  <c r="P183" i="59" s="1"/>
  <c r="Q183" i="59" s="1"/>
  <c r="G184" i="59"/>
  <c r="P184" i="59" s="1"/>
  <c r="Q184" i="59" s="1"/>
  <c r="G185" i="59"/>
  <c r="P185" i="59" s="1"/>
  <c r="Q185" i="59" s="1"/>
  <c r="G186" i="59"/>
  <c r="P186" i="59" s="1"/>
  <c r="Q186" i="59" s="1"/>
  <c r="G187" i="59"/>
  <c r="P187" i="59" s="1"/>
  <c r="Q187" i="59" s="1"/>
  <c r="G188" i="59"/>
  <c r="P188" i="59" s="1"/>
  <c r="Q188" i="59" s="1"/>
  <c r="G189" i="59"/>
  <c r="P189" i="59" s="1"/>
  <c r="Q189" i="59" s="1"/>
  <c r="G190" i="59"/>
  <c r="P190" i="59" s="1"/>
  <c r="Q190" i="59" s="1"/>
  <c r="G191" i="59"/>
  <c r="P191" i="59" s="1"/>
  <c r="Q191" i="59" s="1"/>
  <c r="G192" i="59"/>
  <c r="P192" i="59" s="1"/>
  <c r="Q192" i="59" s="1"/>
  <c r="G193" i="59"/>
  <c r="P193" i="59" s="1"/>
  <c r="Q193" i="59" s="1"/>
  <c r="G194" i="59"/>
  <c r="P194" i="59" s="1"/>
  <c r="Q194" i="59" s="1"/>
  <c r="G195" i="59"/>
  <c r="P195" i="59" s="1"/>
  <c r="Q195" i="59" s="1"/>
  <c r="G196" i="59"/>
  <c r="P196" i="59" s="1"/>
  <c r="Q196" i="59" s="1"/>
  <c r="G197" i="59"/>
  <c r="P197" i="59" s="1"/>
  <c r="Q197" i="59" s="1"/>
  <c r="G198" i="59"/>
  <c r="P198" i="59" s="1"/>
  <c r="Q198" i="59" s="1"/>
  <c r="G199" i="59"/>
  <c r="P199" i="59" s="1"/>
  <c r="Q199" i="59" s="1"/>
  <c r="G200" i="59"/>
  <c r="P200" i="59" s="1"/>
  <c r="Q200" i="59" s="1"/>
  <c r="G201" i="59"/>
  <c r="P201" i="59" s="1"/>
  <c r="Q201" i="59" s="1"/>
  <c r="G202" i="59"/>
  <c r="P202" i="59" s="1"/>
  <c r="Q202" i="59" s="1"/>
  <c r="G203" i="59"/>
  <c r="P203" i="59" s="1"/>
  <c r="Q203" i="59" s="1"/>
  <c r="G204" i="59"/>
  <c r="P204" i="59" s="1"/>
  <c r="Q204" i="59" s="1"/>
  <c r="G205" i="59"/>
  <c r="P205" i="59" s="1"/>
  <c r="Q205" i="59" s="1"/>
  <c r="G206" i="59"/>
  <c r="P206" i="59" s="1"/>
  <c r="Q206" i="59" s="1"/>
  <c r="G207" i="59"/>
  <c r="P207" i="59" s="1"/>
  <c r="Q207" i="59" s="1"/>
  <c r="G208" i="59"/>
  <c r="P208" i="59" s="1"/>
  <c r="Q208" i="59" s="1"/>
  <c r="G209" i="59"/>
  <c r="P209" i="59" s="1"/>
  <c r="Q209" i="59" s="1"/>
  <c r="G210" i="59"/>
  <c r="P210" i="59" s="1"/>
  <c r="Q210" i="59" s="1"/>
  <c r="G211" i="59"/>
  <c r="P211" i="59" s="1"/>
  <c r="Q211" i="59" s="1"/>
  <c r="G212" i="59"/>
  <c r="P212" i="59" s="1"/>
  <c r="Q212" i="59" s="1"/>
  <c r="G213" i="59"/>
  <c r="P213" i="59" s="1"/>
  <c r="Q213" i="59" s="1"/>
  <c r="G214" i="59"/>
  <c r="P214" i="59" s="1"/>
  <c r="Q214" i="59" s="1"/>
  <c r="G215" i="59"/>
  <c r="P215" i="59" s="1"/>
  <c r="Q215" i="59" s="1"/>
  <c r="G216" i="59"/>
  <c r="P216" i="59" s="1"/>
  <c r="Q216" i="59" s="1"/>
  <c r="G217" i="59"/>
  <c r="P217" i="59" s="1"/>
  <c r="Q217" i="59" s="1"/>
  <c r="G218" i="59"/>
  <c r="P218" i="59" s="1"/>
  <c r="Q218" i="59" s="1"/>
  <c r="G219" i="59"/>
  <c r="P219" i="59" s="1"/>
  <c r="Q219" i="59" s="1"/>
  <c r="G220" i="59"/>
  <c r="P220" i="59" s="1"/>
  <c r="Q220" i="59" s="1"/>
  <c r="G221" i="59"/>
  <c r="P221" i="59" s="1"/>
  <c r="Q221" i="59" s="1"/>
  <c r="G222" i="59"/>
  <c r="P222" i="59" s="1"/>
  <c r="Q222" i="59" s="1"/>
  <c r="G223" i="59"/>
  <c r="P223" i="59" s="1"/>
  <c r="Q223" i="59" s="1"/>
  <c r="G224" i="59"/>
  <c r="P224" i="59" s="1"/>
  <c r="Q224" i="59" s="1"/>
  <c r="G225" i="59"/>
  <c r="P225" i="59" s="1"/>
  <c r="Q225" i="59" s="1"/>
  <c r="G226" i="59"/>
  <c r="P226" i="59" s="1"/>
  <c r="Q226" i="59" s="1"/>
  <c r="G227" i="59"/>
  <c r="P227" i="59" s="1"/>
  <c r="Q227" i="59" s="1"/>
  <c r="G228" i="59"/>
  <c r="P228" i="59" s="1"/>
  <c r="Q228" i="59" s="1"/>
  <c r="G229" i="59"/>
  <c r="P229" i="59" s="1"/>
  <c r="Q229" i="59" s="1"/>
  <c r="G230" i="59"/>
  <c r="P230" i="59" s="1"/>
  <c r="Q230" i="59" s="1"/>
  <c r="G231" i="59"/>
  <c r="P231" i="59" s="1"/>
  <c r="Q231" i="59" s="1"/>
  <c r="G232" i="59"/>
  <c r="P232" i="59" s="1"/>
  <c r="Q232" i="59" s="1"/>
  <c r="G233" i="59"/>
  <c r="P233" i="59" s="1"/>
  <c r="Q233" i="59" s="1"/>
  <c r="G234" i="59"/>
  <c r="P234" i="59" s="1"/>
  <c r="Q234" i="59" s="1"/>
  <c r="G235" i="59"/>
  <c r="P235" i="59" s="1"/>
  <c r="Q235" i="59" s="1"/>
  <c r="G236" i="59"/>
  <c r="P236" i="59" s="1"/>
  <c r="Q236" i="59" s="1"/>
  <c r="G237" i="59"/>
  <c r="P237" i="59" s="1"/>
  <c r="Q237" i="59" s="1"/>
  <c r="G238" i="59"/>
  <c r="P238" i="59" s="1"/>
  <c r="Q238" i="59" s="1"/>
  <c r="G239" i="59"/>
  <c r="P239" i="59" s="1"/>
  <c r="Q239" i="59" s="1"/>
  <c r="G240" i="59"/>
  <c r="P240" i="59" s="1"/>
  <c r="Q240" i="59" s="1"/>
  <c r="G241" i="59"/>
  <c r="P241" i="59" s="1"/>
  <c r="Q241" i="59" s="1"/>
  <c r="G242" i="59"/>
  <c r="P242" i="59" s="1"/>
  <c r="Q242" i="59" s="1"/>
  <c r="G243" i="59"/>
  <c r="P243" i="59" s="1"/>
  <c r="Q243" i="59" s="1"/>
  <c r="G244" i="59"/>
  <c r="P244" i="59" s="1"/>
  <c r="Q244" i="59" s="1"/>
  <c r="G245" i="59"/>
  <c r="P245" i="59" s="1"/>
  <c r="Q245" i="59" s="1"/>
  <c r="G246" i="59"/>
  <c r="P246" i="59" s="1"/>
  <c r="Q246" i="59" s="1"/>
  <c r="G247" i="59"/>
  <c r="P247" i="59" s="1"/>
  <c r="Q247" i="59" s="1"/>
  <c r="G248" i="59"/>
  <c r="P248" i="59" s="1"/>
  <c r="Q248" i="59" s="1"/>
  <c r="G249" i="59"/>
  <c r="P249" i="59" s="1"/>
  <c r="Q249" i="59" s="1"/>
  <c r="G250" i="59"/>
  <c r="P250" i="59" s="1"/>
  <c r="Q250" i="59" s="1"/>
  <c r="G251" i="59"/>
  <c r="P251" i="59" s="1"/>
  <c r="Q251" i="59" s="1"/>
  <c r="G252" i="59"/>
  <c r="P252" i="59" s="1"/>
  <c r="Q252" i="59" s="1"/>
  <c r="G253" i="59"/>
  <c r="P253" i="59" s="1"/>
  <c r="Q253" i="59" s="1"/>
  <c r="G254" i="59"/>
  <c r="P254" i="59" s="1"/>
  <c r="Q254" i="59" s="1"/>
  <c r="G255" i="59"/>
  <c r="P255" i="59" s="1"/>
  <c r="Q255" i="59" s="1"/>
  <c r="G256" i="59"/>
  <c r="P256" i="59" s="1"/>
  <c r="Q256" i="59" s="1"/>
  <c r="G257" i="59"/>
  <c r="P257" i="59" s="1"/>
  <c r="Q257" i="59" s="1"/>
  <c r="G258" i="59"/>
  <c r="P258" i="59" s="1"/>
  <c r="Q258" i="59" s="1"/>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H32" i="46"/>
  <c r="U16"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0" i="46"/>
  <c r="F151" i="46"/>
  <c r="F152" i="46"/>
  <c r="F153" i="46"/>
  <c r="F154" i="46"/>
  <c r="F155" i="46"/>
  <c r="F156" i="46"/>
  <c r="F157" i="46"/>
  <c r="F158" i="46"/>
  <c r="F159" i="46"/>
  <c r="F160" i="46"/>
  <c r="F161" i="46"/>
  <c r="F162" i="46"/>
  <c r="F163" i="46"/>
  <c r="F164" i="46"/>
  <c r="F165" i="46"/>
  <c r="F166" i="46"/>
  <c r="F167" i="46"/>
  <c r="F168" i="46"/>
  <c r="F169" i="46"/>
  <c r="F170" i="46"/>
  <c r="F171" i="46"/>
  <c r="F172" i="46"/>
  <c r="F173" i="46"/>
  <c r="F174" i="46"/>
  <c r="F175" i="46"/>
  <c r="F176" i="46"/>
  <c r="F177" i="46"/>
  <c r="F178" i="46"/>
  <c r="F179" i="46"/>
  <c r="F180" i="46"/>
  <c r="F181" i="46"/>
  <c r="F182" i="46"/>
  <c r="F183" i="46"/>
  <c r="F184" i="46"/>
  <c r="F185" i="46"/>
  <c r="F186" i="46"/>
  <c r="F187" i="46"/>
  <c r="F188" i="46"/>
  <c r="F189" i="46"/>
  <c r="F190" i="46"/>
  <c r="F191" i="46"/>
  <c r="F192" i="46"/>
  <c r="F193" i="46"/>
  <c r="F194" i="46"/>
  <c r="F195" i="46"/>
  <c r="F196" i="46"/>
  <c r="F197" i="46"/>
  <c r="F198" i="46"/>
  <c r="F199" i="46"/>
  <c r="F200" i="46"/>
  <c r="F201" i="46"/>
  <c r="F202" i="46"/>
  <c r="F203" i="46"/>
  <c r="F204" i="46"/>
  <c r="F205" i="46"/>
  <c r="F206" i="46"/>
  <c r="F207" i="46"/>
  <c r="F208" i="46"/>
  <c r="F209" i="46"/>
  <c r="F210" i="46"/>
  <c r="F211" i="46"/>
  <c r="F212" i="46"/>
  <c r="F213" i="46"/>
  <c r="F214" i="46"/>
  <c r="F215" i="46"/>
  <c r="F216" i="46"/>
  <c r="F217" i="46"/>
  <c r="F218" i="46"/>
  <c r="F219" i="46"/>
  <c r="F220" i="46"/>
  <c r="F221" i="46"/>
  <c r="F222" i="46"/>
  <c r="F223" i="46"/>
  <c r="F224" i="46"/>
  <c r="F225" i="46"/>
  <c r="F226" i="46"/>
  <c r="F227" i="46"/>
  <c r="F228" i="46"/>
  <c r="F229" i="46"/>
  <c r="F230" i="46"/>
  <c r="F231" i="46"/>
  <c r="F232" i="46"/>
  <c r="F233" i="46"/>
  <c r="F234" i="46"/>
  <c r="F235" i="46"/>
  <c r="F236" i="46"/>
  <c r="F237" i="46"/>
  <c r="F238" i="46"/>
  <c r="F239" i="46"/>
  <c r="F240" i="46"/>
  <c r="F241" i="46"/>
  <c r="F242" i="46"/>
  <c r="F243" i="46"/>
  <c r="F244" i="46"/>
  <c r="F245" i="46"/>
  <c r="F246" i="46"/>
  <c r="F247" i="46"/>
  <c r="F248" i="46"/>
  <c r="F249" i="46"/>
  <c r="F250" i="46"/>
  <c r="F251" i="46"/>
  <c r="F252" i="46"/>
  <c r="F253" i="46"/>
  <c r="F254" i="46"/>
  <c r="F255" i="46"/>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s="1"/>
  <c r="O81" i="29"/>
  <c r="C134" i="28" s="1"/>
  <c r="M81" i="29"/>
  <c r="L81" i="29"/>
  <c r="D63" i="73"/>
  <c r="D62" i="73"/>
  <c r="D61" i="73"/>
  <c r="Z12" i="59" l="1"/>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P69" i="11"/>
  <c r="P61" i="11"/>
  <c r="P53" i="11"/>
  <c r="P45" i="11"/>
  <c r="P37" i="11"/>
  <c r="P33" i="11"/>
  <c r="P29" i="11"/>
  <c r="P21" i="11"/>
  <c r="W21" i="11" s="1"/>
  <c r="P17" i="11"/>
  <c r="W17" i="11" s="1"/>
  <c r="U255" i="46"/>
  <c r="H239" i="46"/>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P76" i="11"/>
  <c r="P72" i="11"/>
  <c r="P68" i="11"/>
  <c r="P64" i="11"/>
  <c r="P60" i="11"/>
  <c r="P56" i="11"/>
  <c r="P52" i="11"/>
  <c r="P48" i="11"/>
  <c r="P44" i="11"/>
  <c r="P40" i="11"/>
  <c r="P36" i="11"/>
  <c r="P32" i="11"/>
  <c r="P28" i="11"/>
  <c r="P24" i="11"/>
  <c r="W24" i="11" s="1"/>
  <c r="P20" i="11"/>
  <c r="W20" i="11" s="1"/>
  <c r="P16" i="11"/>
  <c r="W16" i="11" s="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P67" i="11"/>
  <c r="P59" i="11"/>
  <c r="P51" i="11"/>
  <c r="P43" i="11"/>
  <c r="P35" i="11"/>
  <c r="P31" i="11"/>
  <c r="P23" i="11"/>
  <c r="W23" i="11" s="1"/>
  <c r="P19" i="11"/>
  <c r="W19" i="11" s="1"/>
  <c r="P15" i="11"/>
  <c r="W15" i="11" s="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P71" i="11"/>
  <c r="P63" i="11"/>
  <c r="P55" i="11"/>
  <c r="P47" i="11"/>
  <c r="P39" i="11"/>
  <c r="P27" i="1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I74" i="11"/>
  <c r="P74" i="11"/>
  <c r="P70" i="11"/>
  <c r="I66" i="11"/>
  <c r="P66" i="11"/>
  <c r="P62" i="11"/>
  <c r="P58" i="11"/>
  <c r="P54" i="11"/>
  <c r="P50" i="11"/>
  <c r="P46" i="11"/>
  <c r="P42" i="11"/>
  <c r="P38" i="11"/>
  <c r="P34" i="11"/>
  <c r="P30" i="11"/>
  <c r="I26" i="11"/>
  <c r="P26" i="11"/>
  <c r="W26" i="11" s="1"/>
  <c r="P22" i="11"/>
  <c r="W22" i="11" s="1"/>
  <c r="P18" i="11"/>
  <c r="W18" i="11" s="1"/>
  <c r="P14" i="11"/>
  <c r="U256" i="46"/>
  <c r="H252" i="46"/>
  <c r="U248" i="46"/>
  <c r="H244" i="46"/>
  <c r="U240" i="46"/>
  <c r="U236" i="46"/>
  <c r="U232" i="46"/>
  <c r="H228" i="46"/>
  <c r="U224" i="46"/>
  <c r="H220" i="46"/>
  <c r="U216" i="46"/>
  <c r="H212" i="46"/>
  <c r="U208" i="46"/>
  <c r="U200" i="46"/>
  <c r="H196" i="46"/>
  <c r="U192" i="46"/>
  <c r="H188" i="46"/>
  <c r="H180" i="46"/>
  <c r="H176" i="46"/>
  <c r="H172" i="46"/>
  <c r="H160" i="46"/>
  <c r="H156" i="46"/>
  <c r="H148" i="46"/>
  <c r="U144" i="46"/>
  <c r="H128" i="46"/>
  <c r="U10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s="1"/>
  <c r="P253" i="11"/>
  <c r="P245" i="11"/>
  <c r="P237" i="11"/>
  <c r="P229" i="11"/>
  <c r="P221" i="11"/>
  <c r="P213" i="11"/>
  <c r="P205" i="11"/>
  <c r="P197" i="11"/>
  <c r="P189" i="11"/>
  <c r="P181" i="11"/>
  <c r="P173" i="11"/>
  <c r="P165" i="11"/>
  <c r="P157" i="11"/>
  <c r="P149" i="11"/>
  <c r="P137" i="11"/>
  <c r="P129" i="11"/>
  <c r="P121" i="11"/>
  <c r="P113" i="11"/>
  <c r="P105" i="11"/>
  <c r="P97" i="11"/>
  <c r="P89" i="11"/>
  <c r="P81" i="11"/>
  <c r="P73" i="11"/>
  <c r="P65" i="11"/>
  <c r="P57" i="11"/>
  <c r="P49" i="11"/>
  <c r="P41" i="11"/>
  <c r="P25" i="11"/>
  <c r="W25" i="11" s="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H24" i="46"/>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9" i="11"/>
  <c r="I21"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H27" i="46"/>
  <c r="U19" i="46"/>
  <c r="H19" i="46"/>
  <c r="H255" i="46"/>
  <c r="H216" i="46"/>
  <c r="H203" i="46"/>
  <c r="H191" i="46"/>
  <c r="H164"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H26" i="46"/>
  <c r="U172" i="46"/>
  <c r="U99" i="46"/>
  <c r="U26" i="46"/>
  <c r="U184" i="46"/>
  <c r="U176" i="46"/>
  <c r="U168" i="46"/>
  <c r="U160" i="46"/>
  <c r="U152" i="46"/>
  <c r="U128" i="46"/>
  <c r="U120" i="46"/>
  <c r="U112" i="46"/>
  <c r="U104" i="46"/>
  <c r="U96" i="46"/>
  <c r="U88" i="46"/>
  <c r="U64" i="46"/>
  <c r="U56" i="46"/>
  <c r="U48" i="46"/>
  <c r="U40" i="46"/>
  <c r="H250" i="46"/>
  <c r="H236"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H31" i="46"/>
  <c r="U23" i="46"/>
  <c r="H23" i="46"/>
  <c r="U15" i="46"/>
  <c r="H15" i="46"/>
  <c r="H248" i="46"/>
  <c r="H235" i="46"/>
  <c r="H223" i="46"/>
  <c r="H210" i="46"/>
  <c r="H184" i="46"/>
  <c r="H171" i="46"/>
  <c r="H138" i="46"/>
  <c r="H119" i="46"/>
  <c r="H96" i="46"/>
  <c r="H74" i="46"/>
  <c r="H50" i="46"/>
  <c r="H18"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H30" i="46"/>
  <c r="U22" i="46"/>
  <c r="H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H29" i="46"/>
  <c r="U21" i="46"/>
  <c r="H21" i="46"/>
  <c r="U13" i="46"/>
  <c r="H13" i="46"/>
  <c r="H232" i="46"/>
  <c r="H219" i="46"/>
  <c r="H207" i="46"/>
  <c r="H194" i="46"/>
  <c r="H168" i="46"/>
  <c r="H152" i="46"/>
  <c r="H135" i="46"/>
  <c r="H112" i="46"/>
  <c r="H90" i="46"/>
  <c r="H71" i="46"/>
  <c r="H42" i="46"/>
  <c r="U209" i="46"/>
  <c r="U136" i="46"/>
  <c r="U63" i="46"/>
  <c r="U252" i="46"/>
  <c r="U244" i="46"/>
  <c r="U228" i="46"/>
  <c r="U220" i="46"/>
  <c r="U212" i="46"/>
  <c r="U204" i="46"/>
  <c r="U196" i="46"/>
  <c r="U188" i="46"/>
  <c r="U180" i="46"/>
  <c r="U164" i="46"/>
  <c r="U156" i="46"/>
  <c r="U148" i="46"/>
  <c r="U140" i="46"/>
  <c r="H140" i="46"/>
  <c r="H132" i="46"/>
  <c r="U132" i="46"/>
  <c r="H124" i="46"/>
  <c r="U124" i="46"/>
  <c r="H116" i="46"/>
  <c r="U116" i="46"/>
  <c r="H108" i="46"/>
  <c r="U100" i="46"/>
  <c r="H100" i="46"/>
  <c r="U92" i="46"/>
  <c r="H92" i="46"/>
  <c r="U84" i="46"/>
  <c r="H84" i="46"/>
  <c r="U76" i="46"/>
  <c r="H76" i="46"/>
  <c r="H68" i="46"/>
  <c r="U68" i="46"/>
  <c r="H60" i="46"/>
  <c r="U60" i="46"/>
  <c r="H52" i="46"/>
  <c r="U52" i="46"/>
  <c r="H44" i="46"/>
  <c r="U36" i="46"/>
  <c r="H36" i="46"/>
  <c r="U28" i="46"/>
  <c r="H28" i="46"/>
  <c r="H256" i="46"/>
  <c r="H243" i="46"/>
  <c r="H231" i="46"/>
  <c r="H218" i="46"/>
  <c r="H204" i="46"/>
  <c r="H192" i="46"/>
  <c r="H179" i="46"/>
  <c r="H167" i="46"/>
  <c r="H151" i="46"/>
  <c r="H130" i="46"/>
  <c r="H111" i="46"/>
  <c r="H88" i="46"/>
  <c r="H66" i="46"/>
  <c r="H40" i="46"/>
  <c r="U127" i="46"/>
  <c r="U53" i="46"/>
  <c r="U25" i="46"/>
  <c r="U33" i="46"/>
  <c r="H20" i="46"/>
  <c r="U20" i="46"/>
  <c r="I253" i="59"/>
  <c r="I245" i="59"/>
  <c r="I237" i="59"/>
  <c r="I229" i="59"/>
  <c r="I221" i="59"/>
  <c r="I213" i="59"/>
  <c r="I205" i="59"/>
  <c r="H17" i="46"/>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5" i="11" l="1"/>
  <c r="AD13" i="11"/>
  <c r="Q171" i="11"/>
  <c r="AD171" i="11"/>
  <c r="Q178" i="11"/>
  <c r="AD178" i="11"/>
  <c r="Q115" i="11"/>
  <c r="AD115" i="11"/>
  <c r="Q192" i="11"/>
  <c r="AD192" i="11"/>
  <c r="Q81" i="11"/>
  <c r="AD81" i="11"/>
  <c r="Q149" i="11"/>
  <c r="AD149" i="11"/>
  <c r="Q213" i="11"/>
  <c r="AD213" i="11"/>
  <c r="Q195" i="11"/>
  <c r="AD195" i="11"/>
  <c r="Q38" i="11"/>
  <c r="AD38" i="11"/>
  <c r="Q94" i="11"/>
  <c r="AD94" i="11"/>
  <c r="Q126" i="11"/>
  <c r="AD126" i="11"/>
  <c r="Q150" i="11"/>
  <c r="AD150" i="11"/>
  <c r="Q182" i="11"/>
  <c r="AD182" i="11"/>
  <c r="Q210" i="11"/>
  <c r="AD210" i="11"/>
  <c r="Q238" i="11"/>
  <c r="AD238" i="11"/>
  <c r="Q39" i="11"/>
  <c r="AD39" i="11"/>
  <c r="Q103" i="11"/>
  <c r="AD103" i="11"/>
  <c r="Q175" i="11"/>
  <c r="AD175" i="11"/>
  <c r="Q59" i="11"/>
  <c r="AD59" i="11"/>
  <c r="Q123" i="11"/>
  <c r="AD123" i="11"/>
  <c r="Q211" i="11"/>
  <c r="AD211" i="11"/>
  <c r="Q36" i="11"/>
  <c r="AD36" i="11"/>
  <c r="Q68" i="11"/>
  <c r="AD68" i="11"/>
  <c r="Q100" i="11"/>
  <c r="AD100" i="11"/>
  <c r="Q132" i="11"/>
  <c r="AD132" i="11"/>
  <c r="Q164" i="11"/>
  <c r="AD164" i="11"/>
  <c r="Q196" i="11"/>
  <c r="AD196" i="11"/>
  <c r="Q224" i="11"/>
  <c r="AD224" i="11"/>
  <c r="Q252" i="11"/>
  <c r="AD252" i="11"/>
  <c r="Q33" i="11"/>
  <c r="AD33" i="11"/>
  <c r="Q93" i="11"/>
  <c r="AD93" i="11"/>
  <c r="Q153" i="11"/>
  <c r="AD153" i="11"/>
  <c r="Q217" i="11"/>
  <c r="AD217" i="11"/>
  <c r="Q191" i="11"/>
  <c r="AD191" i="11"/>
  <c r="Q66" i="11"/>
  <c r="AD66" i="11"/>
  <c r="Q163" i="11"/>
  <c r="AD163" i="11"/>
  <c r="Q96" i="11"/>
  <c r="AD96" i="11"/>
  <c r="Q85" i="11"/>
  <c r="AD85" i="11"/>
  <c r="Q89" i="11"/>
  <c r="AD89" i="11"/>
  <c r="Q157" i="11"/>
  <c r="AD157" i="11"/>
  <c r="Q221" i="11"/>
  <c r="AD221" i="11"/>
  <c r="Q215" i="11"/>
  <c r="AD215" i="11"/>
  <c r="Q42" i="11"/>
  <c r="AD42" i="11"/>
  <c r="Q70" i="11"/>
  <c r="AD70" i="11"/>
  <c r="Q98" i="11"/>
  <c r="AD98" i="11"/>
  <c r="Q130" i="11"/>
  <c r="AD130" i="11"/>
  <c r="Q154" i="11"/>
  <c r="AD154" i="11"/>
  <c r="Q186" i="11"/>
  <c r="AD186" i="11"/>
  <c r="Q214" i="11"/>
  <c r="AD214" i="11"/>
  <c r="Q242" i="11"/>
  <c r="AD242" i="11"/>
  <c r="Q47" i="11"/>
  <c r="AD47" i="11"/>
  <c r="Q111" i="11"/>
  <c r="AD111" i="11"/>
  <c r="Q187" i="11"/>
  <c r="AD187" i="11"/>
  <c r="Q67" i="11"/>
  <c r="AD67" i="11"/>
  <c r="Q131" i="11"/>
  <c r="AD131" i="11"/>
  <c r="Q227" i="11"/>
  <c r="AD227" i="11"/>
  <c r="Q40" i="11"/>
  <c r="AD40" i="11"/>
  <c r="Q72" i="11"/>
  <c r="AD72" i="11"/>
  <c r="Q104" i="11"/>
  <c r="AD104" i="11"/>
  <c r="Q136" i="11"/>
  <c r="AD136" i="11"/>
  <c r="Q168" i="11"/>
  <c r="AD168" i="11"/>
  <c r="Q200" i="11"/>
  <c r="AD200" i="11"/>
  <c r="Q228" i="11"/>
  <c r="AD228" i="11"/>
  <c r="Q256" i="11"/>
  <c r="AD256" i="11"/>
  <c r="Q37" i="11"/>
  <c r="AD37" i="11"/>
  <c r="Q101" i="11"/>
  <c r="AD101" i="11"/>
  <c r="Q161" i="11"/>
  <c r="AD161" i="11"/>
  <c r="Q225" i="11"/>
  <c r="AD225" i="11"/>
  <c r="Q203" i="11"/>
  <c r="AD203" i="11"/>
  <c r="Q205" i="11"/>
  <c r="AD205" i="11"/>
  <c r="Q206" i="11"/>
  <c r="AD206" i="11"/>
  <c r="Q199" i="11"/>
  <c r="AD199" i="11"/>
  <c r="Q220" i="11"/>
  <c r="AD220" i="11"/>
  <c r="AD25" i="11"/>
  <c r="Q97" i="11"/>
  <c r="AD97" i="11"/>
  <c r="Q165" i="11"/>
  <c r="AD165" i="11"/>
  <c r="Q229" i="11"/>
  <c r="AD229" i="11"/>
  <c r="Q231" i="11"/>
  <c r="AD231" i="11"/>
  <c r="AD18" i="11"/>
  <c r="Q46" i="11"/>
  <c r="AD46" i="11"/>
  <c r="Q74" i="11"/>
  <c r="AD74" i="11"/>
  <c r="Q102" i="11"/>
  <c r="AD102" i="11"/>
  <c r="Q158" i="11"/>
  <c r="AD158" i="11"/>
  <c r="Q190" i="11"/>
  <c r="AD190" i="11"/>
  <c r="Q218" i="11"/>
  <c r="AD218" i="11"/>
  <c r="Q246" i="11"/>
  <c r="AD246" i="11"/>
  <c r="Q55" i="11"/>
  <c r="AD55" i="11"/>
  <c r="Q119" i="11"/>
  <c r="AD119" i="11"/>
  <c r="Q207" i="11"/>
  <c r="AD207" i="11"/>
  <c r="AD19" i="11"/>
  <c r="Q75" i="11"/>
  <c r="AD75" i="11"/>
  <c r="Q139" i="11"/>
  <c r="AD139" i="11"/>
  <c r="Q243" i="11"/>
  <c r="AD243" i="11"/>
  <c r="Q44" i="11"/>
  <c r="AD44" i="11"/>
  <c r="Q76" i="11"/>
  <c r="AD76" i="11"/>
  <c r="Q108" i="11"/>
  <c r="AD108" i="11"/>
  <c r="Q140" i="11"/>
  <c r="AD140" i="11"/>
  <c r="Q172" i="11"/>
  <c r="AD172" i="11"/>
  <c r="Q204" i="11"/>
  <c r="AD204" i="11"/>
  <c r="Q232" i="11"/>
  <c r="AD232" i="11"/>
  <c r="Q45" i="11"/>
  <c r="AD45" i="11"/>
  <c r="Q109" i="11"/>
  <c r="AD109" i="11"/>
  <c r="Q169" i="11"/>
  <c r="AD169" i="11"/>
  <c r="Q233" i="11"/>
  <c r="AD233" i="11"/>
  <c r="Q223" i="11"/>
  <c r="AD223" i="11"/>
  <c r="Q137" i="11"/>
  <c r="AD137" i="11"/>
  <c r="Q146" i="11"/>
  <c r="AD146" i="11"/>
  <c r="Q51" i="11"/>
  <c r="AD51" i="11"/>
  <c r="Q128" i="11"/>
  <c r="AD128" i="11"/>
  <c r="Q179" i="11"/>
  <c r="AD179" i="11"/>
  <c r="Q41" i="11"/>
  <c r="AD41" i="11"/>
  <c r="Q105" i="11"/>
  <c r="AD105" i="11"/>
  <c r="Q173" i="11"/>
  <c r="AD173" i="11"/>
  <c r="Q237" i="11"/>
  <c r="AD237" i="11"/>
  <c r="Q247" i="11"/>
  <c r="AD247" i="11"/>
  <c r="AD22" i="11"/>
  <c r="Q50" i="11"/>
  <c r="AD50" i="11"/>
  <c r="Q106" i="11"/>
  <c r="AD106" i="11"/>
  <c r="Q134" i="11"/>
  <c r="AD134" i="11"/>
  <c r="Q162" i="11"/>
  <c r="AD162" i="11"/>
  <c r="Q194" i="11"/>
  <c r="AD194" i="11"/>
  <c r="Q222" i="11"/>
  <c r="AD222" i="11"/>
  <c r="Q250" i="11"/>
  <c r="AD250" i="11"/>
  <c r="Q63" i="11"/>
  <c r="AD63" i="11"/>
  <c r="Q127" i="11"/>
  <c r="AD127" i="11"/>
  <c r="Q219" i="11"/>
  <c r="AD219" i="11"/>
  <c r="AD23" i="11"/>
  <c r="Q83" i="11"/>
  <c r="AD83" i="11"/>
  <c r="Q147" i="11"/>
  <c r="AD147" i="11"/>
  <c r="AD16" i="11"/>
  <c r="Q48" i="11"/>
  <c r="AD48" i="11"/>
  <c r="Q80" i="11"/>
  <c r="AD80" i="11"/>
  <c r="Q112" i="11"/>
  <c r="AD112" i="11"/>
  <c r="Q144" i="11"/>
  <c r="AD144" i="11"/>
  <c r="Q176" i="11"/>
  <c r="AD176" i="11"/>
  <c r="Q208" i="11"/>
  <c r="AD208" i="11"/>
  <c r="Q236" i="11"/>
  <c r="AD236" i="11"/>
  <c r="Q53" i="11"/>
  <c r="AD53" i="11"/>
  <c r="Q117" i="11"/>
  <c r="AD117" i="11"/>
  <c r="Q177" i="11"/>
  <c r="AD177" i="11"/>
  <c r="Q241" i="11"/>
  <c r="AD241" i="11"/>
  <c r="Q235" i="11"/>
  <c r="AD235" i="11"/>
  <c r="Q73" i="11"/>
  <c r="AD73" i="11"/>
  <c r="Q122" i="11"/>
  <c r="AD122" i="11"/>
  <c r="Q95" i="11"/>
  <c r="AD95" i="11"/>
  <c r="Q160" i="11"/>
  <c r="AD160" i="11"/>
  <c r="Q209" i="11"/>
  <c r="AD209" i="11"/>
  <c r="Q49" i="11"/>
  <c r="AD49" i="11"/>
  <c r="Q113" i="11"/>
  <c r="AD113" i="11"/>
  <c r="Q181" i="11"/>
  <c r="AD181" i="11"/>
  <c r="Q245" i="11"/>
  <c r="AD245" i="11"/>
  <c r="AD26" i="11"/>
  <c r="Q54" i="11"/>
  <c r="AD54" i="11"/>
  <c r="Q78" i="11"/>
  <c r="AD78" i="11"/>
  <c r="Q110" i="11"/>
  <c r="AD110" i="11"/>
  <c r="Q138" i="11"/>
  <c r="AD138" i="11"/>
  <c r="Q166" i="11"/>
  <c r="AD166" i="11"/>
  <c r="Q226" i="11"/>
  <c r="AD226" i="11"/>
  <c r="Q254" i="11"/>
  <c r="AD254" i="11"/>
  <c r="Q71" i="11"/>
  <c r="AD71" i="11"/>
  <c r="Q135" i="11"/>
  <c r="AD135" i="11"/>
  <c r="Q239" i="11"/>
  <c r="AD239" i="11"/>
  <c r="Q31" i="11"/>
  <c r="AD31" i="11"/>
  <c r="Q91" i="11"/>
  <c r="AD91" i="11"/>
  <c r="Q155" i="11"/>
  <c r="AD155" i="11"/>
  <c r="AD20" i="11"/>
  <c r="Q52" i="11"/>
  <c r="AD52" i="11"/>
  <c r="Q84" i="11"/>
  <c r="AD84" i="11"/>
  <c r="Q116" i="11"/>
  <c r="AD116" i="11"/>
  <c r="Q148" i="11"/>
  <c r="AD148" i="11"/>
  <c r="Q180" i="11"/>
  <c r="AD180" i="11"/>
  <c r="Q212" i="11"/>
  <c r="AD212" i="11"/>
  <c r="Q240" i="11"/>
  <c r="AD240" i="11"/>
  <c r="Q61" i="11"/>
  <c r="AD61" i="11"/>
  <c r="Q125" i="11"/>
  <c r="AD125" i="11"/>
  <c r="Q185" i="11"/>
  <c r="AD185" i="11"/>
  <c r="Q249" i="11"/>
  <c r="AD249" i="11"/>
  <c r="Q255" i="11"/>
  <c r="AD255" i="11"/>
  <c r="Q90" i="11"/>
  <c r="AD90" i="11"/>
  <c r="Q64" i="11"/>
  <c r="AD64" i="11"/>
  <c r="Q145" i="11"/>
  <c r="AD145" i="11"/>
  <c r="Q57" i="11"/>
  <c r="AD57" i="11"/>
  <c r="Q121" i="11"/>
  <c r="AD121" i="11"/>
  <c r="Q189" i="11"/>
  <c r="AD189" i="11"/>
  <c r="Q253" i="11"/>
  <c r="AD253" i="11"/>
  <c r="Q58" i="11"/>
  <c r="AD58" i="11"/>
  <c r="Q82" i="11"/>
  <c r="AD82" i="11"/>
  <c r="Q114" i="11"/>
  <c r="AD114" i="11"/>
  <c r="Q170" i="11"/>
  <c r="AD170" i="11"/>
  <c r="Q198" i="11"/>
  <c r="AD198" i="11"/>
  <c r="Q258" i="11"/>
  <c r="AD258" i="11"/>
  <c r="Q79" i="11"/>
  <c r="AD79" i="11"/>
  <c r="Q143" i="11"/>
  <c r="AD143" i="11"/>
  <c r="Q251" i="11"/>
  <c r="AD251" i="11"/>
  <c r="Q35" i="11"/>
  <c r="AD35" i="11"/>
  <c r="Q99" i="11"/>
  <c r="AD99" i="11"/>
  <c r="Q167" i="11"/>
  <c r="AD167" i="11"/>
  <c r="AD24" i="11"/>
  <c r="Q56" i="11"/>
  <c r="AD56" i="11"/>
  <c r="Q88" i="11"/>
  <c r="AD88" i="11"/>
  <c r="Q120" i="11"/>
  <c r="AD120" i="11"/>
  <c r="Q152" i="11"/>
  <c r="AD152" i="11"/>
  <c r="Q184" i="11"/>
  <c r="AD184" i="11"/>
  <c r="Q216" i="11"/>
  <c r="AD216" i="11"/>
  <c r="Q244" i="11"/>
  <c r="AD244" i="11"/>
  <c r="AD17" i="11"/>
  <c r="Q69" i="11"/>
  <c r="AD69" i="11"/>
  <c r="Q133" i="11"/>
  <c r="AD133" i="11"/>
  <c r="Q193" i="11"/>
  <c r="AD193" i="11"/>
  <c r="Q257" i="11"/>
  <c r="AD257" i="11"/>
  <c r="Q34" i="11"/>
  <c r="AD34" i="11"/>
  <c r="Q234" i="11"/>
  <c r="AD234" i="11"/>
  <c r="Q32" i="11"/>
  <c r="AD32" i="11"/>
  <c r="Q29" i="11"/>
  <c r="AD29" i="11"/>
  <c r="Q65" i="11"/>
  <c r="AD65" i="11"/>
  <c r="Q129" i="11"/>
  <c r="AD129" i="11"/>
  <c r="Q197" i="11"/>
  <c r="AD197" i="11"/>
  <c r="Q30" i="11"/>
  <c r="AD30" i="11"/>
  <c r="Q62" i="11"/>
  <c r="AD62" i="11"/>
  <c r="Q86" i="11"/>
  <c r="AD86" i="11"/>
  <c r="Q118" i="11"/>
  <c r="AD118" i="11"/>
  <c r="Q142" i="11"/>
  <c r="AD142" i="11"/>
  <c r="Q174" i="11"/>
  <c r="AD174" i="11"/>
  <c r="Q202" i="11"/>
  <c r="AD202" i="11"/>
  <c r="Q230" i="11"/>
  <c r="AD230" i="11"/>
  <c r="Q87" i="11"/>
  <c r="AD87" i="11"/>
  <c r="Q151" i="11"/>
  <c r="AD151" i="11"/>
  <c r="Q43" i="11"/>
  <c r="AD43" i="11"/>
  <c r="Q107" i="11"/>
  <c r="AD107" i="11"/>
  <c r="Q183" i="11"/>
  <c r="AD183" i="11"/>
  <c r="Q28" i="11"/>
  <c r="AD28" i="11"/>
  <c r="Q60" i="11"/>
  <c r="AD60" i="11"/>
  <c r="Q92" i="11"/>
  <c r="AD92" i="11"/>
  <c r="Q124" i="11"/>
  <c r="AD124" i="11"/>
  <c r="Q156" i="11"/>
  <c r="AD156" i="11"/>
  <c r="Q188" i="11"/>
  <c r="AD188" i="11"/>
  <c r="Q248" i="11"/>
  <c r="AD248" i="11"/>
  <c r="AD21" i="11"/>
  <c r="Q77" i="11"/>
  <c r="AD77" i="11"/>
  <c r="Q141" i="11"/>
  <c r="AD141" i="11"/>
  <c r="Q201" i="11"/>
  <c r="AD201" i="11"/>
  <c r="Q159" i="11"/>
  <c r="AD159" i="11"/>
  <c r="J11" i="11"/>
  <c r="AH11" i="11"/>
  <c r="Z230" i="59"/>
  <c r="Z13" i="59"/>
  <c r="U6" i="71" a="1"/>
  <c r="U6" i="71" s="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s="1"/>
  <c r="H7" i="46" a="1"/>
  <c r="H7" i="46" s="1"/>
  <c r="J15" i="11"/>
  <c r="J18" i="11"/>
  <c r="J19" i="11"/>
  <c r="J21" i="11"/>
  <c r="J23" i="11"/>
  <c r="J27" i="11"/>
  <c r="J31" i="11"/>
  <c r="J3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22" i="11"/>
  <c r="J28" i="11"/>
  <c r="J30"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l="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34" i="11"/>
  <c r="J26" i="11"/>
  <c r="J14" i="11"/>
  <c r="J103" i="11"/>
  <c r="J55" i="11"/>
  <c r="J39" i="11"/>
  <c r="J108" i="11"/>
  <c r="J88" i="11"/>
  <c r="J72" i="11"/>
  <c r="J40" i="11"/>
  <c r="J32" i="11"/>
  <c r="J24" i="11"/>
  <c r="J36" i="11"/>
  <c r="J104" i="11"/>
  <c r="J92" i="11"/>
  <c r="J76" i="11"/>
  <c r="J60" i="11"/>
  <c r="J56" i="11"/>
  <c r="J48" i="11"/>
  <c r="J20"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33" i="11"/>
  <c r="J29" i="11"/>
  <c r="J25" i="11"/>
  <c r="J17"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s="1"/>
  <c r="K32" i="106"/>
  <c r="I39" i="106" s="1"/>
  <c r="B47" i="72"/>
  <c r="B55" i="72"/>
  <c r="J24" i="96" l="1"/>
  <c r="S37" i="106"/>
  <c r="I41" i="10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l="1"/>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l="1"/>
  <c r="O2" i="59" a="1"/>
  <c r="O2" i="59" s="1"/>
  <c r="B2" i="69" l="1"/>
  <c r="B2" i="68"/>
  <c r="B2" i="67"/>
  <c r="B2" i="65"/>
  <c r="B2" i="64"/>
  <c r="B2" i="63"/>
  <c r="B2" i="57"/>
  <c r="B2" i="55"/>
  <c r="B2" i="58"/>
  <c r="B2" i="53"/>
  <c r="B2" i="42"/>
  <c r="B2" i="52"/>
  <c r="E2" i="50"/>
  <c r="D2" i="71"/>
  <c r="D2" i="59"/>
  <c r="E2" i="32"/>
  <c r="D2" i="46"/>
  <c r="D2" i="11"/>
  <c r="R3" i="69" a="1"/>
  <c r="R3" i="69" s="1"/>
  <c r="V2" i="68" a="1"/>
  <c r="V2" i="68" s="1"/>
  <c r="O2" i="67" a="1"/>
  <c r="O2" i="67" s="1"/>
  <c r="S2" i="65" a="1"/>
  <c r="S2" i="65" s="1"/>
  <c r="V5" i="64" a="1"/>
  <c r="V5" i="64" s="1"/>
  <c r="Q2" i="11" a="1"/>
  <c r="Q2" i="11" s="1"/>
  <c r="L2" i="63" a="1"/>
  <c r="L2" i="63" s="1"/>
  <c r="V2" i="50" a="1"/>
  <c r="V2" i="50" s="1"/>
  <c r="U2" i="71" a="1"/>
  <c r="U2" i="71" s="1"/>
  <c r="S2" i="46" l="1" a="1"/>
  <c r="S2" i="46" s="1"/>
  <c r="V2" i="32" a="1"/>
  <c r="V2" i="32" s="1"/>
  <c r="U22" i="64" l="1"/>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l="1"/>
  <c r="M12" i="42"/>
  <c r="X256" i="71" l="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X217" i="46"/>
  <c r="X216" i="46"/>
  <c r="X215" i="46"/>
  <c r="X214" i="46"/>
  <c r="X213" i="46"/>
  <c r="X212" i="46"/>
  <c r="X211" i="46"/>
  <c r="X210" i="46"/>
  <c r="X209" i="46"/>
  <c r="X208" i="46"/>
  <c r="X207" i="46"/>
  <c r="X206" i="46"/>
  <c r="X205" i="46"/>
  <c r="X204" i="46"/>
  <c r="X203" i="46"/>
  <c r="X202" i="46"/>
  <c r="X201" i="46"/>
  <c r="X200" i="46"/>
  <c r="X199" i="46"/>
  <c r="X198" i="46"/>
  <c r="X197" i="46"/>
  <c r="X196" i="46"/>
  <c r="X195" i="46"/>
  <c r="X194" i="46"/>
  <c r="X193" i="46"/>
  <c r="X192" i="46"/>
  <c r="X191" i="46"/>
  <c r="X190" i="46"/>
  <c r="X189" i="46"/>
  <c r="X188" i="46"/>
  <c r="X187" i="46"/>
  <c r="X186" i="46"/>
  <c r="X185" i="46"/>
  <c r="X184" i="46"/>
  <c r="X183" i="46"/>
  <c r="X182" i="46"/>
  <c r="X181" i="46"/>
  <c r="X180" i="46"/>
  <c r="X179" i="46"/>
  <c r="X178" i="46"/>
  <c r="X177" i="46"/>
  <c r="X176" i="46"/>
  <c r="X175" i="46"/>
  <c r="X174" i="46"/>
  <c r="X172" i="46"/>
  <c r="X171" i="46"/>
  <c r="X170" i="46"/>
  <c r="X169" i="46"/>
  <c r="X168" i="46"/>
  <c r="X167" i="46"/>
  <c r="X166" i="46"/>
  <c r="X165" i="46"/>
  <c r="X164" i="46"/>
  <c r="X163" i="46"/>
  <c r="X162" i="46"/>
  <c r="X161" i="46"/>
  <c r="X160" i="46"/>
  <c r="X159" i="46"/>
  <c r="X158" i="46"/>
  <c r="X157" i="46"/>
  <c r="X156" i="46"/>
  <c r="X155" i="46"/>
  <c r="X154" i="46"/>
  <c r="X153" i="46"/>
  <c r="X152" i="46"/>
  <c r="X151" i="46"/>
  <c r="X150" i="46"/>
  <c r="X149" i="46"/>
  <c r="X148" i="46"/>
  <c r="X147" i="46"/>
  <c r="X146" i="46"/>
  <c r="X145" i="46"/>
  <c r="X144" i="46"/>
  <c r="X143" i="46"/>
  <c r="X142" i="46"/>
  <c r="X141" i="46"/>
  <c r="X140" i="46"/>
  <c r="X139" i="46"/>
  <c r="X138" i="46"/>
  <c r="X137" i="46"/>
  <c r="X136" i="46"/>
  <c r="X135" i="46"/>
  <c r="X134" i="46"/>
  <c r="X133" i="46"/>
  <c r="X132" i="46"/>
  <c r="X131" i="46"/>
  <c r="X130" i="46"/>
  <c r="X129" i="46"/>
  <c r="X128" i="46"/>
  <c r="X127" i="46"/>
  <c r="X126" i="46"/>
  <c r="X125" i="46"/>
  <c r="X124" i="46"/>
  <c r="X123" i="46"/>
  <c r="X122" i="46"/>
  <c r="X121" i="46"/>
  <c r="X120" i="46"/>
  <c r="X119" i="46"/>
  <c r="X118" i="46"/>
  <c r="X117" i="46"/>
  <c r="X116" i="46"/>
  <c r="X115" i="46"/>
  <c r="X114" i="46"/>
  <c r="X113" i="46"/>
  <c r="X112" i="46"/>
  <c r="X111" i="46"/>
  <c r="X110" i="46"/>
  <c r="X109" i="46"/>
  <c r="X108" i="46"/>
  <c r="X107" i="46"/>
  <c r="X106" i="46"/>
  <c r="X105" i="46"/>
  <c r="X104" i="46"/>
  <c r="X103" i="46"/>
  <c r="X102" i="46"/>
  <c r="X101" i="46"/>
  <c r="X100" i="46"/>
  <c r="X99" i="46"/>
  <c r="X98" i="46"/>
  <c r="X97" i="46"/>
  <c r="X96" i="46"/>
  <c r="X95" i="46"/>
  <c r="X94" i="46"/>
  <c r="X93" i="46"/>
  <c r="X92" i="46"/>
  <c r="X91" i="46"/>
  <c r="X90" i="46"/>
  <c r="X89" i="46"/>
  <c r="X88" i="46"/>
  <c r="X87" i="46"/>
  <c r="X86" i="46"/>
  <c r="X85" i="46"/>
  <c r="X84" i="46"/>
  <c r="X83" i="46"/>
  <c r="X82" i="46"/>
  <c r="X81" i="46"/>
  <c r="X80" i="46"/>
  <c r="X79" i="46"/>
  <c r="X78" i="46"/>
  <c r="X77" i="46"/>
  <c r="X76" i="46"/>
  <c r="X75" i="46"/>
  <c r="X74" i="46"/>
  <c r="X73" i="46"/>
  <c r="X72" i="46"/>
  <c r="X71" i="46"/>
  <c r="X70" i="46"/>
  <c r="X69" i="46"/>
  <c r="X68" i="46"/>
  <c r="X67" i="46"/>
  <c r="X66" i="46"/>
  <c r="X65" i="46"/>
  <c r="X64" i="46"/>
  <c r="X63" i="46"/>
  <c r="X62" i="46"/>
  <c r="X61" i="46"/>
  <c r="X60" i="46"/>
  <c r="X59" i="46"/>
  <c r="X58" i="46"/>
  <c r="X57" i="46"/>
  <c r="X56" i="46"/>
  <c r="X55" i="46"/>
  <c r="X54" i="46"/>
  <c r="X53" i="46"/>
  <c r="X52" i="46"/>
  <c r="X51" i="46"/>
  <c r="X50" i="46"/>
  <c r="X49" i="46"/>
  <c r="X48" i="46"/>
  <c r="X47" i="46"/>
  <c r="X46" i="46"/>
  <c r="X45" i="46"/>
  <c r="X44" i="46"/>
  <c r="X43" i="46"/>
  <c r="X42" i="46"/>
  <c r="X41" i="46"/>
  <c r="X40" i="46"/>
  <c r="X39" i="46"/>
  <c r="X38" i="46"/>
  <c r="X37" i="46"/>
  <c r="X36" i="46"/>
  <c r="X35" i="46"/>
  <c r="X34" i="46"/>
  <c r="X33" i="46"/>
  <c r="X32" i="46"/>
  <c r="X31" i="46"/>
  <c r="X30" i="46"/>
  <c r="X29" i="46"/>
  <c r="X28" i="46"/>
  <c r="X27" i="46"/>
  <c r="X26" i="46"/>
  <c r="R172" i="58"/>
  <c r="R228" i="58"/>
  <c r="R236" i="58"/>
  <c r="O13" i="58"/>
  <c r="S13" i="58" s="1"/>
  <c r="O14" i="58"/>
  <c r="S14" i="58" s="1"/>
  <c r="O15" i="58"/>
  <c r="S15" i="58" s="1"/>
  <c r="O16" i="58"/>
  <c r="S16" i="58" s="1"/>
  <c r="O17" i="58"/>
  <c r="S17" i="58" s="1"/>
  <c r="O18" i="58"/>
  <c r="S18" i="58" s="1"/>
  <c r="O19" i="58"/>
  <c r="S19" i="58" s="1"/>
  <c r="O20" i="58"/>
  <c r="S20" i="58" s="1"/>
  <c r="O21" i="58"/>
  <c r="S21" i="58" s="1"/>
  <c r="O22" i="58"/>
  <c r="S22" i="58" s="1"/>
  <c r="O23" i="58"/>
  <c r="S23" i="58" s="1"/>
  <c r="O24" i="58"/>
  <c r="S24" i="58" s="1"/>
  <c r="O25" i="58"/>
  <c r="S25" i="58" s="1"/>
  <c r="O26" i="58"/>
  <c r="S26" i="58" s="1"/>
  <c r="O27" i="58"/>
  <c r="S27" i="58" s="1"/>
  <c r="O28" i="58"/>
  <c r="S28" i="58" s="1"/>
  <c r="O29" i="58"/>
  <c r="S29" i="58" s="1"/>
  <c r="O30" i="58"/>
  <c r="S30" i="58" s="1"/>
  <c r="O31" i="58"/>
  <c r="S31" i="58" s="1"/>
  <c r="O32" i="58"/>
  <c r="S32" i="58" s="1"/>
  <c r="O33" i="58"/>
  <c r="S33" i="58" s="1"/>
  <c r="O34" i="58"/>
  <c r="S34" i="58" s="1"/>
  <c r="O35" i="58"/>
  <c r="S35" i="58" s="1"/>
  <c r="O36" i="58"/>
  <c r="S36" i="58" s="1"/>
  <c r="O37" i="58"/>
  <c r="S37" i="58" s="1"/>
  <c r="O38" i="58"/>
  <c r="S38" i="58" s="1"/>
  <c r="O39" i="58"/>
  <c r="S39" i="58" s="1"/>
  <c r="O40" i="58"/>
  <c r="S40" i="58" s="1"/>
  <c r="O41" i="58"/>
  <c r="S41" i="58" s="1"/>
  <c r="O42" i="58"/>
  <c r="S42" i="58" s="1"/>
  <c r="O43" i="58"/>
  <c r="S43" i="58" s="1"/>
  <c r="O44" i="58"/>
  <c r="S44" i="58" s="1"/>
  <c r="O45" i="58"/>
  <c r="S45" i="58" s="1"/>
  <c r="O46" i="58"/>
  <c r="S46" i="58" s="1"/>
  <c r="O47" i="58"/>
  <c r="S47" i="58" s="1"/>
  <c r="O48" i="58"/>
  <c r="S48" i="58" s="1"/>
  <c r="O49" i="58"/>
  <c r="S49" i="58" s="1"/>
  <c r="O50" i="58"/>
  <c r="S50" i="58" s="1"/>
  <c r="O51" i="58"/>
  <c r="S51" i="58" s="1"/>
  <c r="O52" i="58"/>
  <c r="S52" i="58" s="1"/>
  <c r="O53" i="58"/>
  <c r="S53" i="58" s="1"/>
  <c r="O54" i="58"/>
  <c r="S54" i="58" s="1"/>
  <c r="O55" i="58"/>
  <c r="S55" i="58" s="1"/>
  <c r="O56" i="58"/>
  <c r="S56" i="58" s="1"/>
  <c r="O57" i="58"/>
  <c r="S57" i="58" s="1"/>
  <c r="O58" i="58"/>
  <c r="S58" i="58" s="1"/>
  <c r="O59" i="58"/>
  <c r="S59" i="58" s="1"/>
  <c r="O60" i="58"/>
  <c r="S60" i="58" s="1"/>
  <c r="O61" i="58"/>
  <c r="S61" i="58" s="1"/>
  <c r="O62" i="58"/>
  <c r="S62" i="58" s="1"/>
  <c r="O63" i="58"/>
  <c r="S63" i="58" s="1"/>
  <c r="O64" i="58"/>
  <c r="S64" i="58" s="1"/>
  <c r="O65" i="58"/>
  <c r="S65" i="58" s="1"/>
  <c r="O66" i="58"/>
  <c r="S66" i="58" s="1"/>
  <c r="O67" i="58"/>
  <c r="S67" i="58" s="1"/>
  <c r="O68" i="58"/>
  <c r="S68" i="58" s="1"/>
  <c r="O69" i="58"/>
  <c r="S69" i="58" s="1"/>
  <c r="O70" i="58"/>
  <c r="S70" i="58" s="1"/>
  <c r="O71" i="58"/>
  <c r="S71" i="58" s="1"/>
  <c r="O72" i="58"/>
  <c r="S72" i="58" s="1"/>
  <c r="O73" i="58"/>
  <c r="S73" i="58" s="1"/>
  <c r="O74" i="58"/>
  <c r="S74" i="58" s="1"/>
  <c r="O75" i="58"/>
  <c r="S75" i="58" s="1"/>
  <c r="O76" i="58"/>
  <c r="S76" i="58" s="1"/>
  <c r="O77" i="58"/>
  <c r="S77" i="58" s="1"/>
  <c r="O78" i="58"/>
  <c r="S78" i="58" s="1"/>
  <c r="O79" i="58"/>
  <c r="S79" i="58" s="1"/>
  <c r="O80" i="58"/>
  <c r="S80" i="58" s="1"/>
  <c r="O81" i="58"/>
  <c r="S81" i="58" s="1"/>
  <c r="O82" i="58"/>
  <c r="S82" i="58" s="1"/>
  <c r="O83" i="58"/>
  <c r="S83" i="58" s="1"/>
  <c r="O84" i="58"/>
  <c r="S84" i="58" s="1"/>
  <c r="O85" i="58"/>
  <c r="S85" i="58" s="1"/>
  <c r="O86" i="58"/>
  <c r="S86" i="58" s="1"/>
  <c r="O87" i="58"/>
  <c r="S87" i="58" s="1"/>
  <c r="O88" i="58"/>
  <c r="S88" i="58" s="1"/>
  <c r="O89" i="58"/>
  <c r="S89" i="58" s="1"/>
  <c r="O90" i="58"/>
  <c r="S90" i="58" s="1"/>
  <c r="O91" i="58"/>
  <c r="S91" i="58" s="1"/>
  <c r="O92" i="58"/>
  <c r="S92" i="58" s="1"/>
  <c r="O93" i="58"/>
  <c r="S93" i="58" s="1"/>
  <c r="O94" i="58"/>
  <c r="S94" i="58" s="1"/>
  <c r="O95" i="58"/>
  <c r="S95" i="58" s="1"/>
  <c r="O96" i="58"/>
  <c r="S96" i="58" s="1"/>
  <c r="O97" i="58"/>
  <c r="S97" i="58" s="1"/>
  <c r="O98" i="58"/>
  <c r="S98" i="58" s="1"/>
  <c r="O99" i="58"/>
  <c r="S99" i="58" s="1"/>
  <c r="O100" i="58"/>
  <c r="S100" i="58" s="1"/>
  <c r="O101" i="58"/>
  <c r="S101" i="58" s="1"/>
  <c r="O102" i="58"/>
  <c r="S102" i="58" s="1"/>
  <c r="O103" i="58"/>
  <c r="S103" i="58" s="1"/>
  <c r="O104" i="58"/>
  <c r="S104" i="58" s="1"/>
  <c r="O105" i="58"/>
  <c r="S105" i="58" s="1"/>
  <c r="O106" i="58"/>
  <c r="S106" i="58" s="1"/>
  <c r="O107" i="58"/>
  <c r="S107" i="58" s="1"/>
  <c r="O108" i="58"/>
  <c r="S108" i="58" s="1"/>
  <c r="O109" i="58"/>
  <c r="S109" i="58" s="1"/>
  <c r="O110" i="58"/>
  <c r="S110" i="58" s="1"/>
  <c r="O111" i="58"/>
  <c r="S111" i="58" s="1"/>
  <c r="O112" i="58"/>
  <c r="S112" i="58" s="1"/>
  <c r="O113" i="58"/>
  <c r="S113" i="58" s="1"/>
  <c r="O114" i="58"/>
  <c r="S114" i="58" s="1"/>
  <c r="O115" i="58"/>
  <c r="S115" i="58" s="1"/>
  <c r="O116" i="58"/>
  <c r="S116" i="58" s="1"/>
  <c r="O117" i="58"/>
  <c r="S117" i="58" s="1"/>
  <c r="O118" i="58"/>
  <c r="S118" i="58" s="1"/>
  <c r="O119" i="58"/>
  <c r="S119" i="58" s="1"/>
  <c r="O120" i="58"/>
  <c r="S120" i="58" s="1"/>
  <c r="O121" i="58"/>
  <c r="S121" i="58" s="1"/>
  <c r="O122" i="58"/>
  <c r="S122" i="58" s="1"/>
  <c r="O123" i="58"/>
  <c r="S123" i="58" s="1"/>
  <c r="O124" i="58"/>
  <c r="S124" i="58" s="1"/>
  <c r="O125" i="58"/>
  <c r="S125" i="58" s="1"/>
  <c r="O126" i="58"/>
  <c r="S126" i="58" s="1"/>
  <c r="O127" i="58"/>
  <c r="S127" i="58" s="1"/>
  <c r="O128" i="58"/>
  <c r="S128" i="58" s="1"/>
  <c r="O129" i="58"/>
  <c r="S129" i="58" s="1"/>
  <c r="O130" i="58"/>
  <c r="S130" i="58" s="1"/>
  <c r="O131" i="58"/>
  <c r="S131" i="58" s="1"/>
  <c r="O132" i="58"/>
  <c r="S132" i="58" s="1"/>
  <c r="O133" i="58"/>
  <c r="S133" i="58" s="1"/>
  <c r="O134" i="58"/>
  <c r="S134" i="58" s="1"/>
  <c r="O135" i="58"/>
  <c r="S135" i="58" s="1"/>
  <c r="O136" i="58"/>
  <c r="S136" i="58" s="1"/>
  <c r="O137" i="58"/>
  <c r="S137" i="58" s="1"/>
  <c r="O138" i="58"/>
  <c r="S138" i="58" s="1"/>
  <c r="O139" i="58"/>
  <c r="S139" i="58" s="1"/>
  <c r="O140" i="58"/>
  <c r="S140" i="58" s="1"/>
  <c r="O141" i="58"/>
  <c r="S141" i="58" s="1"/>
  <c r="O142" i="58"/>
  <c r="S142" i="58" s="1"/>
  <c r="O143" i="58"/>
  <c r="S143" i="58" s="1"/>
  <c r="O144" i="58"/>
  <c r="S144" i="58" s="1"/>
  <c r="O145" i="58"/>
  <c r="S145" i="58" s="1"/>
  <c r="O146" i="58"/>
  <c r="S146" i="58" s="1"/>
  <c r="O147" i="58"/>
  <c r="S147" i="58" s="1"/>
  <c r="O148" i="58"/>
  <c r="S148" i="58" s="1"/>
  <c r="O149" i="58"/>
  <c r="S149" i="58" s="1"/>
  <c r="O150" i="58"/>
  <c r="S150" i="58" s="1"/>
  <c r="O151" i="58"/>
  <c r="S151" i="58" s="1"/>
  <c r="O152" i="58"/>
  <c r="S152" i="58" s="1"/>
  <c r="O153" i="58"/>
  <c r="S153" i="58" s="1"/>
  <c r="O154" i="58"/>
  <c r="S154" i="58" s="1"/>
  <c r="O155" i="58"/>
  <c r="S155" i="58" s="1"/>
  <c r="O156" i="58"/>
  <c r="S156" i="58" s="1"/>
  <c r="O157" i="58"/>
  <c r="S157" i="58" s="1"/>
  <c r="O158" i="58"/>
  <c r="S158" i="58" s="1"/>
  <c r="O159" i="58"/>
  <c r="S159" i="58" s="1"/>
  <c r="O160" i="58"/>
  <c r="S160" i="58" s="1"/>
  <c r="O161" i="58"/>
  <c r="S161" i="58" s="1"/>
  <c r="O162" i="58"/>
  <c r="S162" i="58" s="1"/>
  <c r="O163" i="58"/>
  <c r="S163" i="58" s="1"/>
  <c r="O164" i="58"/>
  <c r="S164" i="58" s="1"/>
  <c r="O165" i="58"/>
  <c r="S165" i="58" s="1"/>
  <c r="O166" i="58"/>
  <c r="S166" i="58" s="1"/>
  <c r="O167" i="58"/>
  <c r="S167" i="58" s="1"/>
  <c r="O168" i="58"/>
  <c r="S168" i="58" s="1"/>
  <c r="O169" i="58"/>
  <c r="S169" i="58" s="1"/>
  <c r="O170" i="58"/>
  <c r="S170" i="58" s="1"/>
  <c r="O171" i="58"/>
  <c r="S171" i="58" s="1"/>
  <c r="O172" i="58"/>
  <c r="S172" i="58" s="1"/>
  <c r="O173" i="58"/>
  <c r="S173" i="58" s="1"/>
  <c r="O174" i="58"/>
  <c r="S174" i="58" s="1"/>
  <c r="O175" i="58"/>
  <c r="S175" i="58" s="1"/>
  <c r="O176" i="58"/>
  <c r="S176" i="58" s="1"/>
  <c r="O177" i="58"/>
  <c r="S177" i="58" s="1"/>
  <c r="O178" i="58"/>
  <c r="S178" i="58" s="1"/>
  <c r="O179" i="58"/>
  <c r="S179" i="58" s="1"/>
  <c r="O180" i="58"/>
  <c r="S180" i="58" s="1"/>
  <c r="O181" i="58"/>
  <c r="S181" i="58" s="1"/>
  <c r="O182" i="58"/>
  <c r="S182" i="58" s="1"/>
  <c r="O183" i="58"/>
  <c r="S183" i="58" s="1"/>
  <c r="O184" i="58"/>
  <c r="S184" i="58" s="1"/>
  <c r="O185" i="58"/>
  <c r="S185" i="58" s="1"/>
  <c r="O186" i="58"/>
  <c r="S186" i="58" s="1"/>
  <c r="O187" i="58"/>
  <c r="S187" i="58" s="1"/>
  <c r="O188" i="58"/>
  <c r="S188" i="58" s="1"/>
  <c r="O189" i="58"/>
  <c r="S189" i="58" s="1"/>
  <c r="O190" i="58"/>
  <c r="S190" i="58" s="1"/>
  <c r="O191" i="58"/>
  <c r="S191" i="58" s="1"/>
  <c r="O192" i="58"/>
  <c r="S192" i="58" s="1"/>
  <c r="O193" i="58"/>
  <c r="S193" i="58" s="1"/>
  <c r="O194" i="58"/>
  <c r="S194" i="58" s="1"/>
  <c r="O195" i="58"/>
  <c r="S195" i="58" s="1"/>
  <c r="O196" i="58"/>
  <c r="S196" i="58" s="1"/>
  <c r="O197" i="58"/>
  <c r="S197" i="58" s="1"/>
  <c r="O198" i="58"/>
  <c r="S198" i="58" s="1"/>
  <c r="O199" i="58"/>
  <c r="S199" i="58" s="1"/>
  <c r="O200" i="58"/>
  <c r="S200" i="58" s="1"/>
  <c r="O201" i="58"/>
  <c r="S201" i="58" s="1"/>
  <c r="O202" i="58"/>
  <c r="S202" i="58" s="1"/>
  <c r="O203" i="58"/>
  <c r="S203" i="58" s="1"/>
  <c r="O204" i="58"/>
  <c r="S204" i="58" s="1"/>
  <c r="O205" i="58"/>
  <c r="S205" i="58" s="1"/>
  <c r="O206" i="58"/>
  <c r="S206" i="58" s="1"/>
  <c r="O207" i="58"/>
  <c r="S207" i="58" s="1"/>
  <c r="O208" i="58"/>
  <c r="S208" i="58" s="1"/>
  <c r="O209" i="58"/>
  <c r="S209" i="58" s="1"/>
  <c r="O210" i="58"/>
  <c r="S210" i="58" s="1"/>
  <c r="O211" i="58"/>
  <c r="S211" i="58" s="1"/>
  <c r="O212" i="58"/>
  <c r="S212" i="58" s="1"/>
  <c r="O213" i="58"/>
  <c r="S213" i="58" s="1"/>
  <c r="O214" i="58"/>
  <c r="S214" i="58" s="1"/>
  <c r="O215" i="58"/>
  <c r="S215" i="58" s="1"/>
  <c r="O216" i="58"/>
  <c r="S216" i="58" s="1"/>
  <c r="O217" i="58"/>
  <c r="S217" i="58" s="1"/>
  <c r="O218" i="58"/>
  <c r="S218" i="58" s="1"/>
  <c r="O219" i="58"/>
  <c r="S219" i="58" s="1"/>
  <c r="O220" i="58"/>
  <c r="S220" i="58" s="1"/>
  <c r="O221" i="58"/>
  <c r="S221" i="58" s="1"/>
  <c r="O222" i="58"/>
  <c r="S222" i="58" s="1"/>
  <c r="O223" i="58"/>
  <c r="S223" i="58" s="1"/>
  <c r="O224" i="58"/>
  <c r="S224" i="58" s="1"/>
  <c r="O225" i="58"/>
  <c r="S225" i="58" s="1"/>
  <c r="O226" i="58"/>
  <c r="S226" i="58" s="1"/>
  <c r="O227" i="58"/>
  <c r="S227" i="58" s="1"/>
  <c r="O228" i="58"/>
  <c r="S228" i="58" s="1"/>
  <c r="O229" i="58"/>
  <c r="S229" i="58" s="1"/>
  <c r="O230" i="58"/>
  <c r="S230" i="58" s="1"/>
  <c r="O231" i="58"/>
  <c r="S231" i="58" s="1"/>
  <c r="O232" i="58"/>
  <c r="S232" i="58" s="1"/>
  <c r="O233" i="58"/>
  <c r="S233" i="58" s="1"/>
  <c r="O234" i="58"/>
  <c r="S234" i="58" s="1"/>
  <c r="O235" i="58"/>
  <c r="S235" i="58" s="1"/>
  <c r="O236" i="58"/>
  <c r="S236" i="58" s="1"/>
  <c r="O237" i="58"/>
  <c r="S237" i="58" s="1"/>
  <c r="O238" i="58"/>
  <c r="S238" i="58" s="1"/>
  <c r="O239" i="58"/>
  <c r="S239" i="58" s="1"/>
  <c r="O240" i="58"/>
  <c r="S240" i="58" s="1"/>
  <c r="O241" i="58"/>
  <c r="S241" i="58" s="1"/>
  <c r="O242" i="58"/>
  <c r="S242" i="58" s="1"/>
  <c r="O243" i="58"/>
  <c r="S243" i="58" s="1"/>
  <c r="O244" i="58"/>
  <c r="S244" i="58" s="1"/>
  <c r="O245" i="58"/>
  <c r="S245" i="58" s="1"/>
  <c r="O246" i="58"/>
  <c r="S246" i="58" s="1"/>
  <c r="O247" i="58"/>
  <c r="S247" i="58" s="1"/>
  <c r="O248" i="58"/>
  <c r="S248" i="58" s="1"/>
  <c r="O249" i="58"/>
  <c r="S249" i="58" s="1"/>
  <c r="O250" i="58"/>
  <c r="S250" i="58" s="1"/>
  <c r="O251" i="58"/>
  <c r="S251" i="58" s="1"/>
  <c r="O252" i="58"/>
  <c r="S252" i="58" s="1"/>
  <c r="O253" i="58"/>
  <c r="S253" i="58" s="1"/>
  <c r="O254" i="58"/>
  <c r="S254" i="58" s="1"/>
  <c r="O255" i="58"/>
  <c r="S255" i="58" s="1"/>
  <c r="O256" i="58"/>
  <c r="S256" i="58" s="1"/>
  <c r="O257" i="58"/>
  <c r="S257" i="58" s="1"/>
  <c r="O258" i="58"/>
  <c r="S258" i="58" s="1"/>
  <c r="O259" i="58"/>
  <c r="S259" i="58" s="1"/>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l="1"/>
  <c r="R134" i="58"/>
  <c r="R220" i="58"/>
  <c r="R212" i="58"/>
  <c r="R204" i="58"/>
  <c r="R196" i="58"/>
  <c r="R164" i="58"/>
  <c r="R100" i="58"/>
  <c r="R36" i="58"/>
  <c r="R12" i="58"/>
  <c r="S12" i="58" s="1"/>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s="1"/>
  <c r="R57" i="58"/>
  <c r="V57" i="58" s="1"/>
  <c r="R162" i="58"/>
  <c r="V259" i="58"/>
  <c r="V195" i="58"/>
  <c r="R244" i="58"/>
  <c r="V244" i="58" s="1"/>
  <c r="R180" i="58"/>
  <c r="V100" i="58"/>
  <c r="R141" i="58"/>
  <c r="V141" i="58" s="1"/>
  <c r="R119" i="58"/>
  <c r="V119" i="58" s="1"/>
  <c r="R111" i="58"/>
  <c r="R103" i="58"/>
  <c r="R95" i="58"/>
  <c r="V95" i="58" s="1"/>
  <c r="R87" i="58"/>
  <c r="V87" i="58" s="1"/>
  <c r="R79" i="58"/>
  <c r="R71" i="58"/>
  <c r="R63" i="58"/>
  <c r="V63" i="58" s="1"/>
  <c r="R55" i="58"/>
  <c r="V55" i="58" s="1"/>
  <c r="R47" i="58"/>
  <c r="R39" i="58"/>
  <c r="R31" i="58"/>
  <c r="V31" i="58" s="1"/>
  <c r="R23" i="58"/>
  <c r="R15" i="58"/>
  <c r="R254" i="58"/>
  <c r="R246" i="58"/>
  <c r="R238" i="58"/>
  <c r="R230" i="58"/>
  <c r="R222" i="58"/>
  <c r="R214" i="58"/>
  <c r="R206" i="58"/>
  <c r="R198" i="58"/>
  <c r="R190" i="58"/>
  <c r="R182" i="58"/>
  <c r="R174" i="58"/>
  <c r="R166" i="58"/>
  <c r="V166" i="58" s="1"/>
  <c r="R153" i="58"/>
  <c r="V153" i="58" s="1"/>
  <c r="R137" i="58"/>
  <c r="R121" i="58"/>
  <c r="V121" i="58" s="1"/>
  <c r="R98" i="58"/>
  <c r="R73" i="58"/>
  <c r="V86" i="58"/>
  <c r="R86" i="58"/>
  <c r="V78" i="58"/>
  <c r="R78" i="58"/>
  <c r="V70" i="58"/>
  <c r="R70" i="58"/>
  <c r="V62" i="58"/>
  <c r="R62" i="58"/>
  <c r="V54" i="58"/>
  <c r="R54" i="58"/>
  <c r="V46" i="58"/>
  <c r="R46" i="58"/>
  <c r="V38" i="58"/>
  <c r="R38" i="58"/>
  <c r="V30" i="58"/>
  <c r="R30" i="58"/>
  <c r="R22" i="58"/>
  <c r="V22" i="58" s="1"/>
  <c r="R14" i="58"/>
  <c r="R253" i="58"/>
  <c r="V253" i="58" s="1"/>
  <c r="R245" i="58"/>
  <c r="V245" i="58" s="1"/>
  <c r="R237" i="58"/>
  <c r="V237" i="58" s="1"/>
  <c r="R229" i="58"/>
  <c r="V229" i="58" s="1"/>
  <c r="R221" i="58"/>
  <c r="R213" i="58"/>
  <c r="R205" i="58"/>
  <c r="R197" i="58"/>
  <c r="V197" i="58" s="1"/>
  <c r="R189" i="58"/>
  <c r="V189" i="58" s="1"/>
  <c r="R181" i="58"/>
  <c r="V181" i="58" s="1"/>
  <c r="R173" i="58"/>
  <c r="V173" i="58" s="1"/>
  <c r="R165" i="58"/>
  <c r="V165" i="58" s="1"/>
  <c r="R151" i="58"/>
  <c r="R135" i="58"/>
  <c r="R118" i="58"/>
  <c r="V118" i="58" s="1"/>
  <c r="R97" i="58"/>
  <c r="V97" i="58" s="1"/>
  <c r="R65" i="58"/>
  <c r="V65" i="58" s="1"/>
  <c r="V164" i="58"/>
  <c r="R117" i="58"/>
  <c r="V77" i="58"/>
  <c r="R77" i="58"/>
  <c r="V61" i="58"/>
  <c r="R61" i="58"/>
  <c r="V29" i="58"/>
  <c r="R29" i="58"/>
  <c r="R156" i="58"/>
  <c r="V156" i="58" s="1"/>
  <c r="R148" i="58"/>
  <c r="V148" i="58" s="1"/>
  <c r="R140" i="58"/>
  <c r="V140" i="58" s="1"/>
  <c r="R132" i="58"/>
  <c r="V132" i="58"/>
  <c r="V124" i="58"/>
  <c r="R124" i="58"/>
  <c r="V116" i="58"/>
  <c r="R116" i="58"/>
  <c r="V108" i="58"/>
  <c r="R108" i="58"/>
  <c r="R92" i="58"/>
  <c r="V92" i="58" s="1"/>
  <c r="R84" i="58"/>
  <c r="V84" i="58"/>
  <c r="R76" i="58"/>
  <c r="V76" i="58" s="1"/>
  <c r="R68" i="58"/>
  <c r="V68" i="58"/>
  <c r="V60" i="58"/>
  <c r="R60" i="58"/>
  <c r="R52" i="58"/>
  <c r="V52" i="58" s="1"/>
  <c r="V44" i="58"/>
  <c r="R44" i="58"/>
  <c r="R28" i="58"/>
  <c r="V28" i="58"/>
  <c r="R20" i="58"/>
  <c r="R259" i="58"/>
  <c r="R251" i="58"/>
  <c r="R243" i="58"/>
  <c r="V243" i="58" s="1"/>
  <c r="R235" i="58"/>
  <c r="V235" i="58" s="1"/>
  <c r="R227" i="58"/>
  <c r="V227" i="58" s="1"/>
  <c r="R219" i="58"/>
  <c r="V219" i="58" s="1"/>
  <c r="R211" i="58"/>
  <c r="V211" i="58" s="1"/>
  <c r="R203" i="58"/>
  <c r="V203" i="58" s="1"/>
  <c r="R195" i="58"/>
  <c r="R187" i="58"/>
  <c r="R179" i="58"/>
  <c r="V179" i="58" s="1"/>
  <c r="R171" i="58"/>
  <c r="V171" i="58" s="1"/>
  <c r="R161" i="58"/>
  <c r="R146" i="58"/>
  <c r="R130" i="58"/>
  <c r="R113" i="58"/>
  <c r="R90" i="58"/>
  <c r="R49" i="58"/>
  <c r="V49" i="58" s="1"/>
  <c r="V36" i="58"/>
  <c r="V149" i="58"/>
  <c r="R149" i="58"/>
  <c r="R125" i="58"/>
  <c r="R101" i="58"/>
  <c r="V101" i="58" s="1"/>
  <c r="V69" i="58"/>
  <c r="R69" i="58"/>
  <c r="V37" i="58"/>
  <c r="R37" i="58"/>
  <c r="R163" i="58"/>
  <c r="R155" i="58"/>
  <c r="V155" i="58" s="1"/>
  <c r="V147" i="58"/>
  <c r="R147" i="58"/>
  <c r="V139" i="58"/>
  <c r="R139" i="58"/>
  <c r="R131" i="58"/>
  <c r="R123" i="58"/>
  <c r="V123" i="58" s="1"/>
  <c r="V115" i="58"/>
  <c r="R115" i="58"/>
  <c r="V107" i="58"/>
  <c r="R107" i="58"/>
  <c r="R99" i="58"/>
  <c r="R91" i="58"/>
  <c r="V83" i="58"/>
  <c r="R83" i="58"/>
  <c r="V75" i="58"/>
  <c r="R75" i="58"/>
  <c r="R67" i="58"/>
  <c r="R59" i="58"/>
  <c r="V51" i="58"/>
  <c r="R51" i="58"/>
  <c r="V43" i="58"/>
  <c r="R43" i="58"/>
  <c r="R35" i="58"/>
  <c r="R27" i="58"/>
  <c r="R19" i="58"/>
  <c r="R258" i="58"/>
  <c r="V258" i="58" s="1"/>
  <c r="R250" i="58"/>
  <c r="V250" i="58" s="1"/>
  <c r="R242" i="58"/>
  <c r="R234" i="58"/>
  <c r="R226" i="58"/>
  <c r="R218" i="58"/>
  <c r="R210" i="58"/>
  <c r="V210" i="58" s="1"/>
  <c r="R202" i="58"/>
  <c r="V202" i="58" s="1"/>
  <c r="R194" i="58"/>
  <c r="V194" i="58" s="1"/>
  <c r="R186" i="58"/>
  <c r="R178" i="58"/>
  <c r="R170" i="58"/>
  <c r="R159" i="58"/>
  <c r="R145" i="58"/>
  <c r="R129" i="58"/>
  <c r="R110" i="58"/>
  <c r="V110" i="58" s="1"/>
  <c r="R89" i="58"/>
  <c r="V89" i="58" s="1"/>
  <c r="R41" i="58"/>
  <c r="R93" i="58"/>
  <c r="R66" i="58"/>
  <c r="V58" i="58"/>
  <c r="R58" i="58"/>
  <c r="V50" i="58"/>
  <c r="R50" i="58"/>
  <c r="R42" i="58"/>
  <c r="R34" i="58"/>
  <c r="R26" i="58"/>
  <c r="V26" i="58" s="1"/>
  <c r="R18" i="58"/>
  <c r="R257" i="58"/>
  <c r="V257" i="58" s="1"/>
  <c r="R249" i="58"/>
  <c r="R241" i="58"/>
  <c r="V241" i="58" s="1"/>
  <c r="R233" i="58"/>
  <c r="R225" i="58"/>
  <c r="R217" i="58"/>
  <c r="V217" i="58" s="1"/>
  <c r="R209" i="58"/>
  <c r="R201" i="58"/>
  <c r="V201" i="58" s="1"/>
  <c r="R193" i="58"/>
  <c r="R185" i="58"/>
  <c r="R177" i="58"/>
  <c r="R169" i="58"/>
  <c r="R158" i="58"/>
  <c r="R143" i="58"/>
  <c r="V143" i="58" s="1"/>
  <c r="R127" i="58"/>
  <c r="V127" i="58" s="1"/>
  <c r="R106" i="58"/>
  <c r="V106" i="58" s="1"/>
  <c r="R82" i="58"/>
  <c r="R33" i="58"/>
  <c r="R133" i="58"/>
  <c r="V85" i="58"/>
  <c r="R85" i="58"/>
  <c r="V45" i="58"/>
  <c r="R45" i="58"/>
  <c r="R256" i="58"/>
  <c r="R248" i="58"/>
  <c r="R240" i="58"/>
  <c r="R232" i="58"/>
  <c r="R224" i="58"/>
  <c r="R216" i="58"/>
  <c r="V216" i="58" s="1"/>
  <c r="R208" i="58"/>
  <c r="V208" i="58" s="1"/>
  <c r="R200" i="58"/>
  <c r="V200" i="58" s="1"/>
  <c r="R192" i="58"/>
  <c r="R184" i="58"/>
  <c r="R176" i="58"/>
  <c r="R168" i="58"/>
  <c r="R157" i="58"/>
  <c r="R142" i="58"/>
  <c r="V142" i="58" s="1"/>
  <c r="R126" i="58"/>
  <c r="V126" i="58" s="1"/>
  <c r="R105" i="58"/>
  <c r="R81" i="58"/>
  <c r="V81" i="58" s="1"/>
  <c r="R25" i="58"/>
  <c r="R109" i="58"/>
  <c r="V53" i="58"/>
  <c r="R53" i="58"/>
  <c r="R21" i="58"/>
  <c r="V21" i="58" s="1"/>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s="1"/>
  <c r="R16" i="58"/>
  <c r="R255" i="58"/>
  <c r="V255" i="58" s="1"/>
  <c r="R247" i="58"/>
  <c r="V247" i="58" s="1"/>
  <c r="R239" i="58"/>
  <c r="R231" i="58"/>
  <c r="R223" i="58"/>
  <c r="R215" i="58"/>
  <c r="V215" i="58" s="1"/>
  <c r="R207" i="58"/>
  <c r="V207" i="58" s="1"/>
  <c r="R199" i="58"/>
  <c r="V199" i="58" s="1"/>
  <c r="R191" i="58"/>
  <c r="V191" i="58" s="1"/>
  <c r="R183" i="58"/>
  <c r="V183" i="58" s="1"/>
  <c r="R175" i="58"/>
  <c r="R167" i="58"/>
  <c r="R154" i="58"/>
  <c r="R138" i="58"/>
  <c r="V138" i="58" s="1"/>
  <c r="R122" i="58"/>
  <c r="V122" i="58" s="1"/>
  <c r="R102" i="58"/>
  <c r="R74" i="58"/>
  <c r="V74" i="58" s="1"/>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l="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Q12" i="42" l="1"/>
  <c r="R12" i="42" s="1"/>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l="1"/>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l="1"/>
  <c r="I75" i="99" l="1"/>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Q10" i="55" l="1"/>
  <c r="O7" i="107" s="1"/>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l="1"/>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T5" i="63" l="1"/>
  <c r="Z20" i="67" l="1"/>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l="1"/>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l="1"/>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l="1"/>
  <c r="J170" i="36" l="1"/>
  <c r="J168" i="36"/>
  <c r="J166" i="36"/>
  <c r="J164" i="36"/>
  <c r="J105" i="36"/>
  <c r="D176" i="22"/>
  <c r="D175" i="22"/>
  <c r="D174" i="22"/>
  <c r="D173" i="22"/>
  <c r="D172" i="22"/>
  <c r="C176" i="22"/>
  <c r="C175" i="22"/>
  <c r="C174" i="22"/>
  <c r="C173" i="22"/>
  <c r="C172" i="22"/>
  <c r="A176" i="22"/>
  <c r="A175" i="22"/>
  <c r="A174" i="22"/>
  <c r="A173" i="22"/>
  <c r="A172" i="22"/>
  <c r="B42" i="105" l="1"/>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s="1"/>
  <c r="S173" i="22"/>
  <c r="C184" i="36" s="1"/>
  <c r="S174" i="22"/>
  <c r="C185" i="36" s="1"/>
  <c r="S175" i="22"/>
  <c r="C186" i="36" s="1"/>
  <c r="K173" i="22"/>
  <c r="S176" i="22"/>
  <c r="C187" i="36" s="1"/>
  <c r="J109" i="36"/>
  <c r="J107" i="36"/>
  <c r="J103" i="36"/>
  <c r="J101" i="36"/>
  <c r="A150" i="22" l="1"/>
  <c r="W150" i="22" s="1"/>
  <c r="A151" i="22"/>
  <c r="A152" i="22"/>
  <c r="A153" i="22"/>
  <c r="A154" i="22"/>
  <c r="A155" i="22"/>
  <c r="A156" i="22"/>
  <c r="A157" i="22"/>
  <c r="A158" i="22"/>
  <c r="A159" i="22"/>
  <c r="A160" i="22"/>
  <c r="A161" i="22"/>
  <c r="A162" i="22"/>
  <c r="W158" i="22" l="1"/>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B36" i="104"/>
  <c r="I158" i="22"/>
  <c r="B37" i="104"/>
  <c r="G150" i="22"/>
  <c r="E150" i="22"/>
  <c r="C100" i="36" s="1"/>
  <c r="S156" i="22"/>
  <c r="C126" i="36" s="1"/>
  <c r="S155" i="22"/>
  <c r="C125" i="36" s="1"/>
  <c r="E162" i="22"/>
  <c r="C112" i="36" s="1"/>
  <c r="B47" i="104"/>
  <c r="I161" i="22"/>
  <c r="B46" i="104"/>
  <c r="S158" i="22"/>
  <c r="C128" i="36" s="1"/>
  <c r="B25" i="104"/>
  <c r="K157" i="22"/>
  <c r="G154" i="22"/>
  <c r="S153" i="22"/>
  <c r="C123" i="36" s="1"/>
  <c r="B24" i="104"/>
  <c r="E151" i="22"/>
  <c r="C101" i="36" s="1"/>
  <c r="B22" i="104"/>
  <c r="S150" i="22"/>
  <c r="C120" i="36" s="1"/>
  <c r="B14" i="104"/>
  <c r="G158" i="22"/>
  <c r="K158" i="22"/>
  <c r="G156" i="22"/>
  <c r="E156" i="22"/>
  <c r="C106" i="36" s="1"/>
  <c r="K156" i="22"/>
  <c r="G155" i="22"/>
  <c r="E154" i="22"/>
  <c r="C104" i="36" s="1"/>
  <c r="E155" i="22"/>
  <c r="C105" i="36" s="1"/>
  <c r="K155" i="22"/>
  <c r="G159" i="22"/>
  <c r="E160" i="22"/>
  <c r="C110" i="36" s="1"/>
  <c r="I159" i="22"/>
  <c r="E161" i="22"/>
  <c r="C111" i="36" s="1"/>
  <c r="G161" i="22"/>
  <c r="K153" i="22"/>
  <c r="E153" i="22"/>
  <c r="C103" i="36" s="1"/>
  <c r="S161" i="22"/>
  <c r="C131" i="36" s="1"/>
  <c r="G153" i="22"/>
  <c r="K161" i="22"/>
  <c r="E152" i="22"/>
  <c r="C102" i="36" s="1"/>
  <c r="K154" i="22"/>
  <c r="K162" i="22"/>
  <c r="S154" i="22"/>
  <c r="C124" i="36" s="1"/>
  <c r="S159" i="22"/>
  <c r="C129" i="36" s="1"/>
  <c r="S157" i="22"/>
  <c r="C127" i="36" s="1"/>
  <c r="G151" i="22"/>
  <c r="G160" i="22"/>
  <c r="G152" i="22"/>
  <c r="G162" i="22"/>
  <c r="K151" i="22"/>
  <c r="K159" i="22"/>
  <c r="S151" i="22"/>
  <c r="C121" i="36" s="1"/>
  <c r="S160" i="22"/>
  <c r="C130" i="36" s="1"/>
  <c r="E159" i="22"/>
  <c r="C109" i="36" s="1"/>
  <c r="K152" i="22"/>
  <c r="K160" i="22"/>
  <c r="S152" i="22"/>
  <c r="C122" i="36" s="1"/>
  <c r="U156" i="22"/>
  <c r="U157" i="22"/>
  <c r="U155" i="22"/>
  <c r="G157" i="22"/>
  <c r="U162" i="22"/>
  <c r="U154" i="22"/>
  <c r="U161" i="22"/>
  <c r="U153" i="22"/>
  <c r="I157" i="22"/>
  <c r="U160" i="22"/>
  <c r="U152" i="22"/>
  <c r="E157" i="22"/>
  <c r="C107" i="36" s="1"/>
  <c r="S162" i="22"/>
  <c r="C132" i="36" s="1"/>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C148" i="36" l="1"/>
  <c r="C140" i="36"/>
  <c r="C145" i="36"/>
  <c r="C146" i="36"/>
  <c r="C152" i="36"/>
  <c r="C143" i="36"/>
  <c r="C141" i="36"/>
  <c r="C144" i="36"/>
  <c r="C147" i="36"/>
  <c r="C150" i="36"/>
  <c r="C149" i="36"/>
  <c r="C142" i="36"/>
  <c r="C151" i="36"/>
  <c r="AJ258" i="65" l="1"/>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l="1"/>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l="1"/>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l="1"/>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l="1"/>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l="1"/>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s="1"/>
  <c r="S18" i="42"/>
  <c r="V18" i="42" s="1"/>
  <c r="S19" i="42"/>
  <c r="V19" i="42" s="1"/>
  <c r="S20" i="42"/>
  <c r="V20" i="42" s="1"/>
  <c r="S21" i="42"/>
  <c r="V21" i="42" s="1"/>
  <c r="S22" i="42"/>
  <c r="V22" i="42" s="1"/>
  <c r="S23" i="42"/>
  <c r="V23" i="42" s="1"/>
  <c r="S24" i="42"/>
  <c r="V24" i="42" s="1"/>
  <c r="S25" i="42"/>
  <c r="V25" i="42" s="1"/>
  <c r="S26" i="42"/>
  <c r="V26" i="42" s="1"/>
  <c r="S27" i="42"/>
  <c r="V27" i="42" s="1"/>
  <c r="S28" i="42"/>
  <c r="V28" i="42" s="1"/>
  <c r="S29" i="42"/>
  <c r="V29" i="42" s="1"/>
  <c r="S30" i="42"/>
  <c r="V30" i="42" s="1"/>
  <c r="S31" i="42"/>
  <c r="V31" i="42" s="1"/>
  <c r="S32" i="42"/>
  <c r="V32" i="42" s="1"/>
  <c r="S33" i="42"/>
  <c r="V33" i="42" s="1"/>
  <c r="S34" i="42"/>
  <c r="V34" i="42" s="1"/>
  <c r="S35" i="42"/>
  <c r="V35" i="42" s="1"/>
  <c r="S36" i="42"/>
  <c r="V36" i="42" s="1"/>
  <c r="S37" i="42"/>
  <c r="V37" i="42" s="1"/>
  <c r="S38" i="42"/>
  <c r="V38" i="42"/>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l="1"/>
  <c r="I154" i="22"/>
  <c r="I153" i="22"/>
  <c r="I152" i="22"/>
  <c r="I151" i="22" l="1"/>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l="1"/>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13" i="46"/>
  <c r="V114" i="46"/>
  <c r="V115" i="46"/>
  <c r="V116" i="46"/>
  <c r="V117" i="46"/>
  <c r="V118" i="46"/>
  <c r="V119" i="46"/>
  <c r="V120" i="46"/>
  <c r="V121" i="46"/>
  <c r="V122" i="46"/>
  <c r="V123" i="46"/>
  <c r="V124" i="46"/>
  <c r="V125" i="46"/>
  <c r="V126" i="46"/>
  <c r="V127" i="46"/>
  <c r="V128" i="46"/>
  <c r="V129" i="46"/>
  <c r="V130" i="46"/>
  <c r="V131" i="46"/>
  <c r="V132" i="46"/>
  <c r="V133" i="46"/>
  <c r="V134" i="46"/>
  <c r="V135" i="46"/>
  <c r="V136" i="46"/>
  <c r="V137" i="46"/>
  <c r="V138" i="46"/>
  <c r="V139" i="46"/>
  <c r="V140" i="46"/>
  <c r="V141" i="46"/>
  <c r="V142" i="46"/>
  <c r="V143" i="46"/>
  <c r="V144" i="46"/>
  <c r="V145" i="46"/>
  <c r="V146" i="46"/>
  <c r="V147" i="46"/>
  <c r="V148" i="46"/>
  <c r="V149" i="46"/>
  <c r="V150" i="46"/>
  <c r="V151" i="46"/>
  <c r="V152" i="46"/>
  <c r="V153" i="46"/>
  <c r="V154" i="46"/>
  <c r="V155" i="46"/>
  <c r="V156" i="46"/>
  <c r="V157" i="46"/>
  <c r="V158" i="46"/>
  <c r="V159" i="46"/>
  <c r="V160" i="46"/>
  <c r="V161" i="46"/>
  <c r="V162" i="46"/>
  <c r="V163" i="46"/>
  <c r="V164" i="46"/>
  <c r="V165" i="46"/>
  <c r="V166" i="46"/>
  <c r="V167" i="46"/>
  <c r="V168" i="46"/>
  <c r="V169" i="46"/>
  <c r="V170" i="46"/>
  <c r="V171" i="46"/>
  <c r="V172" i="46"/>
  <c r="V174" i="46"/>
  <c r="V175" i="46"/>
  <c r="V176" i="46"/>
  <c r="V177" i="46"/>
  <c r="V178" i="46"/>
  <c r="V179" i="46"/>
  <c r="V180" i="46"/>
  <c r="V181" i="46"/>
  <c r="V182" i="46"/>
  <c r="V183" i="46"/>
  <c r="V184" i="46"/>
  <c r="V185" i="46"/>
  <c r="V186" i="46"/>
  <c r="V187" i="46"/>
  <c r="V188" i="46"/>
  <c r="V189" i="46"/>
  <c r="V190" i="46"/>
  <c r="V191" i="46"/>
  <c r="V192" i="46"/>
  <c r="V193" i="46"/>
  <c r="V194" i="46"/>
  <c r="V195" i="46"/>
  <c r="V196" i="46"/>
  <c r="V197" i="46"/>
  <c r="V198" i="46"/>
  <c r="V199" i="46"/>
  <c r="V200" i="46"/>
  <c r="V201" i="46"/>
  <c r="V202" i="46"/>
  <c r="V203" i="46"/>
  <c r="V204" i="46"/>
  <c r="V205" i="46"/>
  <c r="V206" i="46"/>
  <c r="V207" i="46"/>
  <c r="V208" i="46"/>
  <c r="V209" i="46"/>
  <c r="V210" i="46"/>
  <c r="V211" i="46"/>
  <c r="V212" i="46"/>
  <c r="V213" i="46"/>
  <c r="V214" i="46"/>
  <c r="V215" i="46"/>
  <c r="V216" i="46"/>
  <c r="V217" i="46"/>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G134" i="22" l="1"/>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I251" i="58" s="1"/>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I245" i="58" s="1"/>
  <c r="L244" i="58"/>
  <c r="K244" i="58"/>
  <c r="F244" i="58"/>
  <c r="I244" i="58" s="1"/>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I237" i="58" s="1"/>
  <c r="L236" i="58"/>
  <c r="K236" i="58"/>
  <c r="F236" i="58"/>
  <c r="I236" i="58" s="1"/>
  <c r="L235" i="58"/>
  <c r="K235" i="58"/>
  <c r="F235" i="58"/>
  <c r="I235" i="58" s="1"/>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I229" i="58" s="1"/>
  <c r="L228" i="58"/>
  <c r="K228" i="58"/>
  <c r="F228" i="58"/>
  <c r="I228" i="58" s="1"/>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I221" i="58" s="1"/>
  <c r="L220" i="58"/>
  <c r="K220" i="58"/>
  <c r="F220" i="58"/>
  <c r="I220" i="58" s="1"/>
  <c r="L219" i="58"/>
  <c r="K219" i="58"/>
  <c r="F219" i="58"/>
  <c r="I219" i="58" s="1"/>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I213" i="58" s="1"/>
  <c r="L212" i="58"/>
  <c r="K212" i="58"/>
  <c r="F212" i="58"/>
  <c r="I212" i="58" s="1"/>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I205" i="58" s="1"/>
  <c r="L204" i="58"/>
  <c r="K204" i="58"/>
  <c r="F204" i="58"/>
  <c r="I204" i="58" s="1"/>
  <c r="L203" i="58"/>
  <c r="K203" i="58"/>
  <c r="F203" i="58"/>
  <c r="I203" i="58" s="1"/>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I197" i="58" s="1"/>
  <c r="L196" i="58"/>
  <c r="K196" i="58"/>
  <c r="F196" i="58"/>
  <c r="I196" i="58" s="1"/>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I190" i="58" s="1"/>
  <c r="L189" i="58"/>
  <c r="K189" i="58"/>
  <c r="F189" i="58"/>
  <c r="I189" i="58" s="1"/>
  <c r="L188" i="58"/>
  <c r="K188" i="58"/>
  <c r="F188" i="58"/>
  <c r="I188" i="58" s="1"/>
  <c r="L187" i="58"/>
  <c r="K187" i="58"/>
  <c r="F187" i="58"/>
  <c r="I187" i="58" s="1"/>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I181" i="58" s="1"/>
  <c r="L180" i="58"/>
  <c r="K180" i="58"/>
  <c r="F180" i="58"/>
  <c r="I180" i="58" s="1"/>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I173" i="58" s="1"/>
  <c r="L172" i="58"/>
  <c r="K172" i="58"/>
  <c r="F172" i="58"/>
  <c r="I172" i="58" s="1"/>
  <c r="L171" i="58"/>
  <c r="K171" i="58"/>
  <c r="F171" i="58"/>
  <c r="I171" i="58" s="1"/>
  <c r="L170" i="58"/>
  <c r="K170" i="58"/>
  <c r="F170" i="58"/>
  <c r="I170" i="58" s="1"/>
  <c r="L169" i="58"/>
  <c r="K169" i="58"/>
  <c r="F169" i="58"/>
  <c r="I169" i="58" s="1"/>
  <c r="L168" i="58"/>
  <c r="K168" i="58"/>
  <c r="F168" i="58"/>
  <c r="I168" i="58" s="1"/>
  <c r="L167" i="58"/>
  <c r="K167" i="58"/>
  <c r="F167" i="58"/>
  <c r="I167" i="58" s="1"/>
  <c r="L166" i="58"/>
  <c r="K166" i="58"/>
  <c r="F166" i="58"/>
  <c r="I166" i="58" s="1"/>
  <c r="L165" i="58"/>
  <c r="K165" i="58"/>
  <c r="F165" i="58"/>
  <c r="I165" i="58" s="1"/>
  <c r="L164" i="58"/>
  <c r="K164" i="58"/>
  <c r="F164" i="58"/>
  <c r="I164" i="58" s="1"/>
  <c r="L163" i="58"/>
  <c r="K163" i="58"/>
  <c r="F163" i="58"/>
  <c r="I163" i="58" s="1"/>
  <c r="L162" i="58"/>
  <c r="K162" i="58"/>
  <c r="F162" i="58"/>
  <c r="I162" i="58" s="1"/>
  <c r="L161" i="58"/>
  <c r="K161" i="58"/>
  <c r="F161" i="58"/>
  <c r="I161" i="58" s="1"/>
  <c r="L160" i="58"/>
  <c r="K160" i="58"/>
  <c r="F160" i="58"/>
  <c r="I160" i="58" s="1"/>
  <c r="L159" i="58"/>
  <c r="K159" i="58"/>
  <c r="F159" i="58"/>
  <c r="I159" i="58" s="1"/>
  <c r="L158" i="58"/>
  <c r="K158" i="58"/>
  <c r="F158" i="58"/>
  <c r="I158" i="58" s="1"/>
  <c r="L157" i="58"/>
  <c r="K157" i="58"/>
  <c r="F157" i="58"/>
  <c r="I157" i="58" s="1"/>
  <c r="L156" i="58"/>
  <c r="K156" i="58"/>
  <c r="F156" i="58"/>
  <c r="I156" i="58" s="1"/>
  <c r="L155" i="58"/>
  <c r="K155" i="58"/>
  <c r="F155" i="58"/>
  <c r="I155" i="58" s="1"/>
  <c r="L154" i="58"/>
  <c r="K154" i="58"/>
  <c r="F154" i="58"/>
  <c r="I154" i="58" s="1"/>
  <c r="L153" i="58"/>
  <c r="K153" i="58"/>
  <c r="F153" i="58"/>
  <c r="I153" i="58" s="1"/>
  <c r="L152" i="58"/>
  <c r="K152" i="58"/>
  <c r="F152" i="58"/>
  <c r="I152" i="58" s="1"/>
  <c r="L151" i="58"/>
  <c r="K151" i="58"/>
  <c r="F151" i="58"/>
  <c r="I151" i="58" s="1"/>
  <c r="L150" i="58"/>
  <c r="K150" i="58"/>
  <c r="F150" i="58"/>
  <c r="I150" i="58" s="1"/>
  <c r="L149" i="58"/>
  <c r="K149" i="58"/>
  <c r="F149" i="58"/>
  <c r="I149" i="58" s="1"/>
  <c r="L148" i="58"/>
  <c r="K148" i="58"/>
  <c r="F148" i="58"/>
  <c r="I148" i="58" s="1"/>
  <c r="L147" i="58"/>
  <c r="K147" i="58"/>
  <c r="F147" i="58"/>
  <c r="I147" i="58" s="1"/>
  <c r="L146" i="58"/>
  <c r="K146" i="58"/>
  <c r="F146" i="58"/>
  <c r="I146" i="58" s="1"/>
  <c r="L145" i="58"/>
  <c r="K145" i="58"/>
  <c r="F145" i="58"/>
  <c r="I145" i="58" s="1"/>
  <c r="L144" i="58"/>
  <c r="K144" i="58"/>
  <c r="F144" i="58"/>
  <c r="I144" i="58" s="1"/>
  <c r="L143" i="58"/>
  <c r="K143" i="58"/>
  <c r="F143" i="58"/>
  <c r="I143" i="58" s="1"/>
  <c r="L142" i="58"/>
  <c r="K142" i="58"/>
  <c r="F142" i="58"/>
  <c r="I142" i="58" s="1"/>
  <c r="L141" i="58"/>
  <c r="K141" i="58"/>
  <c r="F141" i="58"/>
  <c r="I141" i="58" s="1"/>
  <c r="L140" i="58"/>
  <c r="K140" i="58"/>
  <c r="F140" i="58"/>
  <c r="I140" i="58" s="1"/>
  <c r="L139" i="58"/>
  <c r="K139" i="58"/>
  <c r="F139" i="58"/>
  <c r="I139" i="58" s="1"/>
  <c r="L138" i="58"/>
  <c r="K138" i="58"/>
  <c r="F138" i="58"/>
  <c r="I138" i="58" s="1"/>
  <c r="L137" i="58"/>
  <c r="K137" i="58"/>
  <c r="F137" i="58"/>
  <c r="I137" i="58" s="1"/>
  <c r="L136" i="58"/>
  <c r="K136" i="58"/>
  <c r="F136" i="58"/>
  <c r="I136" i="58" s="1"/>
  <c r="L135" i="58"/>
  <c r="K135" i="58"/>
  <c r="F135" i="58"/>
  <c r="I135" i="58" s="1"/>
  <c r="L134" i="58"/>
  <c r="K134" i="58"/>
  <c r="F134" i="58"/>
  <c r="I134" i="58" s="1"/>
  <c r="L133" i="58"/>
  <c r="K133" i="58"/>
  <c r="F133" i="58"/>
  <c r="I133" i="58" s="1"/>
  <c r="L132" i="58"/>
  <c r="K132" i="58"/>
  <c r="F132" i="58"/>
  <c r="I132" i="58" s="1"/>
  <c r="L131" i="58"/>
  <c r="K131" i="58"/>
  <c r="F131" i="58"/>
  <c r="I131" i="58" s="1"/>
  <c r="L130" i="58"/>
  <c r="K130" i="58"/>
  <c r="F130" i="58"/>
  <c r="I130" i="58" s="1"/>
  <c r="L129" i="58"/>
  <c r="K129" i="58"/>
  <c r="F129" i="58"/>
  <c r="I129" i="58" s="1"/>
  <c r="L128" i="58"/>
  <c r="K128" i="58"/>
  <c r="F128" i="58"/>
  <c r="I128" i="58" s="1"/>
  <c r="L127" i="58"/>
  <c r="K127" i="58"/>
  <c r="F127" i="58"/>
  <c r="I127" i="58" s="1"/>
  <c r="L126" i="58"/>
  <c r="K126" i="58"/>
  <c r="F126" i="58"/>
  <c r="I126" i="58" s="1"/>
  <c r="L125" i="58"/>
  <c r="K125" i="58"/>
  <c r="F125" i="58"/>
  <c r="I125" i="58" s="1"/>
  <c r="L124" i="58"/>
  <c r="K124" i="58"/>
  <c r="F124" i="58"/>
  <c r="I124" i="58" s="1"/>
  <c r="L123" i="58"/>
  <c r="K123" i="58"/>
  <c r="F123" i="58"/>
  <c r="I123" i="58" s="1"/>
  <c r="L122" i="58"/>
  <c r="K122" i="58"/>
  <c r="F122" i="58"/>
  <c r="I122" i="58" s="1"/>
  <c r="L121" i="58"/>
  <c r="K121" i="58"/>
  <c r="F121" i="58"/>
  <c r="I121" i="58" s="1"/>
  <c r="L120" i="58"/>
  <c r="K120" i="58"/>
  <c r="F120" i="58"/>
  <c r="I120" i="58" s="1"/>
  <c r="L119" i="58"/>
  <c r="K119" i="58"/>
  <c r="F119" i="58"/>
  <c r="I119" i="58" s="1"/>
  <c r="L118" i="58"/>
  <c r="K118" i="58"/>
  <c r="F118" i="58"/>
  <c r="I118" i="58" s="1"/>
  <c r="L117" i="58"/>
  <c r="K117" i="58"/>
  <c r="F117" i="58"/>
  <c r="I117" i="58" s="1"/>
  <c r="L116" i="58"/>
  <c r="K116" i="58"/>
  <c r="F116" i="58"/>
  <c r="I116" i="58" s="1"/>
  <c r="L115" i="58"/>
  <c r="K115" i="58"/>
  <c r="F115" i="58"/>
  <c r="I115" i="58" s="1"/>
  <c r="L114" i="58"/>
  <c r="K114" i="58"/>
  <c r="F114" i="58"/>
  <c r="I114" i="58" s="1"/>
  <c r="L113" i="58"/>
  <c r="K113" i="58"/>
  <c r="F113" i="58"/>
  <c r="I113" i="58" s="1"/>
  <c r="L112" i="58"/>
  <c r="K112" i="58"/>
  <c r="F112" i="58"/>
  <c r="I112" i="58" s="1"/>
  <c r="L111" i="58"/>
  <c r="K111" i="58"/>
  <c r="F111" i="58"/>
  <c r="I111" i="58" s="1"/>
  <c r="L110" i="58"/>
  <c r="K110" i="58"/>
  <c r="F110" i="58"/>
  <c r="I110" i="58" s="1"/>
  <c r="L109" i="58"/>
  <c r="K109" i="58"/>
  <c r="F109" i="58"/>
  <c r="I109" i="58" s="1"/>
  <c r="L108" i="58"/>
  <c r="K108" i="58"/>
  <c r="F108" i="58"/>
  <c r="I108" i="58" s="1"/>
  <c r="L107" i="58"/>
  <c r="K107" i="58"/>
  <c r="F107" i="58"/>
  <c r="I107" i="58" s="1"/>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I91" i="58" s="1"/>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I69" i="58" s="1"/>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I53" i="58" s="1"/>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I37" i="58" s="1"/>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I21" i="58" s="1"/>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s="1"/>
  <c r="AY11" i="55" s="1"/>
  <c r="F12" i="55"/>
  <c r="I12" i="55" s="1"/>
  <c r="AY12" i="55" s="1"/>
  <c r="F13" i="55"/>
  <c r="I13" i="55" s="1"/>
  <c r="AY13" i="55" s="1"/>
  <c r="F14" i="55"/>
  <c r="I14" i="55" s="1"/>
  <c r="AY14" i="55" s="1"/>
  <c r="F15" i="55"/>
  <c r="I15" i="55" s="1"/>
  <c r="AY15" i="55" s="1"/>
  <c r="F16" i="55"/>
  <c r="I16" i="55" s="1"/>
  <c r="AY16" i="55" s="1"/>
  <c r="F17" i="55"/>
  <c r="I17" i="55" s="1"/>
  <c r="AY17" i="55" s="1"/>
  <c r="F18" i="55"/>
  <c r="I18" i="55" s="1"/>
  <c r="AY18" i="55" s="1"/>
  <c r="F19" i="55"/>
  <c r="I19" i="55" s="1"/>
  <c r="AY19" i="55" s="1"/>
  <c r="F20" i="55"/>
  <c r="I20" i="55" s="1"/>
  <c r="AY20" i="55" s="1"/>
  <c r="F21" i="55"/>
  <c r="I21" i="55" s="1"/>
  <c r="AY21" i="55" s="1"/>
  <c r="F22" i="55"/>
  <c r="I22" i="55" s="1"/>
  <c r="AY22" i="55" s="1"/>
  <c r="F23" i="55"/>
  <c r="I23" i="55" s="1"/>
  <c r="AY23" i="55" s="1"/>
  <c r="F24" i="55"/>
  <c r="I24" i="55" s="1"/>
  <c r="AY24" i="55" s="1"/>
  <c r="F25" i="55"/>
  <c r="I25" i="55" s="1"/>
  <c r="AY25" i="55" s="1"/>
  <c r="F26" i="55"/>
  <c r="I26" i="55" s="1"/>
  <c r="AY26" i="55" s="1"/>
  <c r="F27" i="55"/>
  <c r="I27" i="55" s="1"/>
  <c r="AY27" i="55" s="1"/>
  <c r="F28" i="55"/>
  <c r="I28" i="55" s="1"/>
  <c r="AY28" i="55" s="1"/>
  <c r="F29" i="55"/>
  <c r="I29" i="55" s="1"/>
  <c r="AY29" i="55" s="1"/>
  <c r="F30" i="55"/>
  <c r="I30" i="55" s="1"/>
  <c r="AY30" i="55" s="1"/>
  <c r="F31" i="55"/>
  <c r="I31" i="55" s="1"/>
  <c r="AY31" i="55" s="1"/>
  <c r="F32" i="55"/>
  <c r="I32" i="55" s="1"/>
  <c r="AY32" i="55" s="1"/>
  <c r="F33" i="55"/>
  <c r="I33" i="55" s="1"/>
  <c r="AY33" i="55" s="1"/>
  <c r="F34" i="55"/>
  <c r="I34" i="55" s="1"/>
  <c r="AY34" i="55" s="1"/>
  <c r="F35" i="55"/>
  <c r="I35" i="55" s="1"/>
  <c r="AY35" i="55" s="1"/>
  <c r="F36" i="55"/>
  <c r="I36" i="55" s="1"/>
  <c r="AY36" i="55" s="1"/>
  <c r="F37" i="55"/>
  <c r="I37" i="55" s="1"/>
  <c r="AY37" i="55" s="1"/>
  <c r="F38" i="55"/>
  <c r="I38" i="55" s="1"/>
  <c r="AY38" i="55" s="1"/>
  <c r="F39" i="55"/>
  <c r="I39" i="55" s="1"/>
  <c r="AY39" i="55" s="1"/>
  <c r="F40" i="55"/>
  <c r="I40" i="55" s="1"/>
  <c r="AY40" i="55" s="1"/>
  <c r="F41" i="55"/>
  <c r="I41" i="55" s="1"/>
  <c r="AY41" i="55" s="1"/>
  <c r="F42" i="55"/>
  <c r="I42" i="55" s="1"/>
  <c r="AY42" i="55" s="1"/>
  <c r="F43" i="55"/>
  <c r="I43" i="55" s="1"/>
  <c r="AY43" i="55" s="1"/>
  <c r="F44" i="55"/>
  <c r="I44" i="55" s="1"/>
  <c r="AY44" i="55" s="1"/>
  <c r="F45" i="55"/>
  <c r="I45" i="55" s="1"/>
  <c r="AY45" i="55" s="1"/>
  <c r="F46" i="55"/>
  <c r="I46" i="55" s="1"/>
  <c r="AY46" i="55" s="1"/>
  <c r="F47" i="55"/>
  <c r="I47" i="55" s="1"/>
  <c r="AY47" i="55" s="1"/>
  <c r="F48" i="55"/>
  <c r="I48" i="55" s="1"/>
  <c r="AY48" i="55" s="1"/>
  <c r="F49" i="55"/>
  <c r="I49" i="55" s="1"/>
  <c r="AY49" i="55" s="1"/>
  <c r="F50" i="55"/>
  <c r="I50" i="55" s="1"/>
  <c r="AY50" i="55" s="1"/>
  <c r="F51" i="55"/>
  <c r="I51" i="55" s="1"/>
  <c r="AY51" i="55" s="1"/>
  <c r="F52" i="55"/>
  <c r="I52" i="55" s="1"/>
  <c r="AY52" i="55" s="1"/>
  <c r="F53" i="55"/>
  <c r="I53" i="55" s="1"/>
  <c r="AY53" i="55" s="1"/>
  <c r="F54" i="55"/>
  <c r="I54" i="55" s="1"/>
  <c r="AY54" i="55" s="1"/>
  <c r="F55" i="55"/>
  <c r="I55" i="55" s="1"/>
  <c r="AY55" i="55" s="1"/>
  <c r="F56" i="55"/>
  <c r="I56" i="55" s="1"/>
  <c r="AY56" i="55" s="1"/>
  <c r="F57" i="55"/>
  <c r="I57" i="55" s="1"/>
  <c r="AY57" i="55" s="1"/>
  <c r="F58" i="55"/>
  <c r="I58" i="55" s="1"/>
  <c r="AY58" i="55" s="1"/>
  <c r="F59" i="55"/>
  <c r="I59" i="55" s="1"/>
  <c r="AY59" i="55" s="1"/>
  <c r="F60" i="55"/>
  <c r="I60" i="55" s="1"/>
  <c r="AY60" i="55" s="1"/>
  <c r="F61" i="55"/>
  <c r="I61" i="55" s="1"/>
  <c r="AY61" i="55" s="1"/>
  <c r="F62" i="55"/>
  <c r="I62" i="55" s="1"/>
  <c r="AY62" i="55" s="1"/>
  <c r="F63" i="55"/>
  <c r="I63" i="55" s="1"/>
  <c r="AY63" i="55" s="1"/>
  <c r="F64" i="55"/>
  <c r="I64" i="55" s="1"/>
  <c r="AY64" i="55" s="1"/>
  <c r="F65" i="55"/>
  <c r="I65" i="55" s="1"/>
  <c r="AY65" i="55" s="1"/>
  <c r="F66" i="55"/>
  <c r="I66" i="55" s="1"/>
  <c r="AY66" i="55" s="1"/>
  <c r="F67" i="55"/>
  <c r="I67" i="55" s="1"/>
  <c r="AY67" i="55" s="1"/>
  <c r="F68" i="55"/>
  <c r="I68" i="55" s="1"/>
  <c r="AY68" i="55" s="1"/>
  <c r="F69" i="55"/>
  <c r="I69" i="55" s="1"/>
  <c r="AY69" i="55" s="1"/>
  <c r="F70" i="55"/>
  <c r="I70" i="55" s="1"/>
  <c r="AY70" i="55" s="1"/>
  <c r="F71" i="55"/>
  <c r="I71" i="55" s="1"/>
  <c r="AY71" i="55" s="1"/>
  <c r="F72" i="55"/>
  <c r="I72" i="55" s="1"/>
  <c r="AY72" i="55" s="1"/>
  <c r="F73" i="55"/>
  <c r="I73" i="55" s="1"/>
  <c r="AY73" i="55" s="1"/>
  <c r="F74" i="55"/>
  <c r="I74" i="55" s="1"/>
  <c r="AY74" i="55" s="1"/>
  <c r="F75" i="55"/>
  <c r="I75" i="55" s="1"/>
  <c r="AY75" i="55" s="1"/>
  <c r="F76" i="55"/>
  <c r="I76" i="55" s="1"/>
  <c r="AY76" i="55" s="1"/>
  <c r="F77" i="55"/>
  <c r="I77" i="55" s="1"/>
  <c r="AY77" i="55" s="1"/>
  <c r="F78" i="55"/>
  <c r="I78" i="55" s="1"/>
  <c r="AY78" i="55" s="1"/>
  <c r="F79" i="55"/>
  <c r="I79" i="55" s="1"/>
  <c r="AY79" i="55" s="1"/>
  <c r="F80" i="55"/>
  <c r="I80" i="55" s="1"/>
  <c r="AY80" i="55" s="1"/>
  <c r="F81" i="55"/>
  <c r="I81" i="55" s="1"/>
  <c r="AY81" i="55" s="1"/>
  <c r="F82" i="55"/>
  <c r="I82" i="55" s="1"/>
  <c r="AY82" i="55" s="1"/>
  <c r="F83" i="55"/>
  <c r="I83" i="55" s="1"/>
  <c r="AY83" i="55" s="1"/>
  <c r="F84" i="55"/>
  <c r="I84" i="55" s="1"/>
  <c r="AY84" i="55" s="1"/>
  <c r="F85" i="55"/>
  <c r="I85" i="55" s="1"/>
  <c r="AY85" i="55" s="1"/>
  <c r="F86" i="55"/>
  <c r="I86" i="55" s="1"/>
  <c r="AY86" i="55" s="1"/>
  <c r="F87" i="55"/>
  <c r="I87" i="55" s="1"/>
  <c r="AY87" i="55" s="1"/>
  <c r="F88" i="55"/>
  <c r="I88" i="55" s="1"/>
  <c r="AY88" i="55" s="1"/>
  <c r="F89" i="55"/>
  <c r="I89" i="55" s="1"/>
  <c r="AY89" i="55" s="1"/>
  <c r="F90" i="55"/>
  <c r="I90" i="55" s="1"/>
  <c r="AY90" i="55" s="1"/>
  <c r="F91" i="55"/>
  <c r="I91" i="55" s="1"/>
  <c r="AY91" i="55" s="1"/>
  <c r="F92" i="55"/>
  <c r="I92" i="55" s="1"/>
  <c r="AY92" i="55" s="1"/>
  <c r="F93" i="55"/>
  <c r="I93" i="55" s="1"/>
  <c r="AY93" i="55" s="1"/>
  <c r="F94" i="55"/>
  <c r="I94" i="55" s="1"/>
  <c r="AY94" i="55" s="1"/>
  <c r="F95" i="55"/>
  <c r="I95" i="55" s="1"/>
  <c r="AY95" i="55" s="1"/>
  <c r="F96" i="55"/>
  <c r="I96" i="55" s="1"/>
  <c r="AY96" i="55" s="1"/>
  <c r="F97" i="55"/>
  <c r="I97" i="55" s="1"/>
  <c r="AY97" i="55" s="1"/>
  <c r="F98" i="55"/>
  <c r="I98" i="55" s="1"/>
  <c r="AY98" i="55" s="1"/>
  <c r="F99" i="55"/>
  <c r="I99" i="55" s="1"/>
  <c r="AY99" i="55" s="1"/>
  <c r="F100" i="55"/>
  <c r="I100" i="55" s="1"/>
  <c r="AY100" i="55" s="1"/>
  <c r="F101" i="55"/>
  <c r="I101" i="55" s="1"/>
  <c r="AY101" i="55" s="1"/>
  <c r="F102" i="55"/>
  <c r="I102" i="55" s="1"/>
  <c r="AY102" i="55" s="1"/>
  <c r="F103" i="55"/>
  <c r="I103" i="55" s="1"/>
  <c r="AY103" i="55" s="1"/>
  <c r="F104" i="55"/>
  <c r="I104" i="55" s="1"/>
  <c r="AY104" i="55" s="1"/>
  <c r="F105" i="55"/>
  <c r="I105" i="55" s="1"/>
  <c r="AY105" i="55" s="1"/>
  <c r="F106" i="55"/>
  <c r="I106" i="55" s="1"/>
  <c r="AY106" i="55" s="1"/>
  <c r="F107" i="55"/>
  <c r="I107" i="55" s="1"/>
  <c r="AY107" i="55" s="1"/>
  <c r="F108" i="55"/>
  <c r="I108" i="55" s="1"/>
  <c r="AY108" i="55" s="1"/>
  <c r="F109" i="55"/>
  <c r="I109" i="55" s="1"/>
  <c r="AY109" i="55" s="1"/>
  <c r="F110" i="55"/>
  <c r="I110" i="55" s="1"/>
  <c r="AY110" i="55" s="1"/>
  <c r="F111" i="55"/>
  <c r="I111" i="55" s="1"/>
  <c r="AY111" i="55" s="1"/>
  <c r="F112" i="55"/>
  <c r="I112" i="55" s="1"/>
  <c r="AY112" i="55" s="1"/>
  <c r="F113" i="55"/>
  <c r="I113" i="55" s="1"/>
  <c r="AY113" i="55" s="1"/>
  <c r="F114" i="55"/>
  <c r="I114" i="55" s="1"/>
  <c r="AY114" i="55" s="1"/>
  <c r="F115" i="55"/>
  <c r="I115" i="55" s="1"/>
  <c r="AY115" i="55" s="1"/>
  <c r="F116" i="55"/>
  <c r="I116" i="55" s="1"/>
  <c r="AY116" i="55" s="1"/>
  <c r="F117" i="55"/>
  <c r="I117" i="55" s="1"/>
  <c r="AY117" i="55" s="1"/>
  <c r="F118" i="55"/>
  <c r="I118" i="55" s="1"/>
  <c r="AY118" i="55" s="1"/>
  <c r="F119" i="55"/>
  <c r="I119" i="55" s="1"/>
  <c r="AY119" i="55" s="1"/>
  <c r="F120" i="55"/>
  <c r="I120" i="55" s="1"/>
  <c r="AY120" i="55" s="1"/>
  <c r="F121" i="55"/>
  <c r="I121" i="55" s="1"/>
  <c r="AY121" i="55" s="1"/>
  <c r="F122" i="55"/>
  <c r="I122" i="55" s="1"/>
  <c r="AY122" i="55" s="1"/>
  <c r="F123" i="55"/>
  <c r="I123" i="55" s="1"/>
  <c r="AY123" i="55" s="1"/>
  <c r="F124" i="55"/>
  <c r="I124" i="55" s="1"/>
  <c r="AY124" i="55" s="1"/>
  <c r="F125" i="55"/>
  <c r="I125" i="55" s="1"/>
  <c r="AY125" i="55" s="1"/>
  <c r="F126" i="55"/>
  <c r="I126" i="55" s="1"/>
  <c r="AY126" i="55" s="1"/>
  <c r="F127" i="55"/>
  <c r="I127" i="55" s="1"/>
  <c r="AY127" i="55" s="1"/>
  <c r="F128" i="55"/>
  <c r="I128" i="55" s="1"/>
  <c r="AY128" i="55" s="1"/>
  <c r="F129" i="55"/>
  <c r="I129" i="55" s="1"/>
  <c r="AY129" i="55" s="1"/>
  <c r="F130" i="55"/>
  <c r="I130" i="55" s="1"/>
  <c r="AY130" i="55" s="1"/>
  <c r="F131" i="55"/>
  <c r="I131" i="55" s="1"/>
  <c r="AY131" i="55" s="1"/>
  <c r="F132" i="55"/>
  <c r="I132" i="55" s="1"/>
  <c r="AY132" i="55" s="1"/>
  <c r="F133" i="55"/>
  <c r="I133" i="55" s="1"/>
  <c r="AY133" i="55" s="1"/>
  <c r="F134" i="55"/>
  <c r="I134" i="55" s="1"/>
  <c r="AY134" i="55" s="1"/>
  <c r="F135" i="55"/>
  <c r="I135" i="55" s="1"/>
  <c r="AY135" i="55" s="1"/>
  <c r="F136" i="55"/>
  <c r="I136" i="55" s="1"/>
  <c r="AY136" i="55" s="1"/>
  <c r="F137" i="55"/>
  <c r="I137" i="55" s="1"/>
  <c r="AY137" i="55" s="1"/>
  <c r="F138" i="55"/>
  <c r="I138" i="55" s="1"/>
  <c r="AY138" i="55" s="1"/>
  <c r="F139" i="55"/>
  <c r="I139" i="55" s="1"/>
  <c r="AY139" i="55" s="1"/>
  <c r="F140" i="55"/>
  <c r="I140" i="55" s="1"/>
  <c r="AY140" i="55" s="1"/>
  <c r="F141" i="55"/>
  <c r="I141" i="55" s="1"/>
  <c r="AY141" i="55" s="1"/>
  <c r="F142" i="55"/>
  <c r="I142" i="55" s="1"/>
  <c r="AY142" i="55" s="1"/>
  <c r="F143" i="55"/>
  <c r="I143" i="55" s="1"/>
  <c r="AY143" i="55" s="1"/>
  <c r="F144" i="55"/>
  <c r="I144" i="55" s="1"/>
  <c r="AY144" i="55" s="1"/>
  <c r="F145" i="55"/>
  <c r="I145" i="55" s="1"/>
  <c r="AY145" i="55" s="1"/>
  <c r="F146" i="55"/>
  <c r="I146" i="55" s="1"/>
  <c r="AY146" i="55" s="1"/>
  <c r="F147" i="55"/>
  <c r="I147" i="55" s="1"/>
  <c r="AY147" i="55" s="1"/>
  <c r="F148" i="55"/>
  <c r="I148" i="55" s="1"/>
  <c r="AY148" i="55" s="1"/>
  <c r="F149" i="55"/>
  <c r="I149" i="55" s="1"/>
  <c r="AY149" i="55" s="1"/>
  <c r="F150" i="55"/>
  <c r="I150" i="55" s="1"/>
  <c r="AY150" i="55" s="1"/>
  <c r="F151" i="55"/>
  <c r="I151" i="55" s="1"/>
  <c r="AY151" i="55" s="1"/>
  <c r="F152" i="55"/>
  <c r="I152" i="55" s="1"/>
  <c r="AY152" i="55" s="1"/>
  <c r="F153" i="55"/>
  <c r="I153" i="55" s="1"/>
  <c r="AY153" i="55" s="1"/>
  <c r="F154" i="55"/>
  <c r="I154" i="55" s="1"/>
  <c r="AY154" i="55" s="1"/>
  <c r="F155" i="55"/>
  <c r="I155" i="55" s="1"/>
  <c r="AY155" i="55" s="1"/>
  <c r="F156" i="55"/>
  <c r="I156" i="55" s="1"/>
  <c r="AY156" i="55" s="1"/>
  <c r="F157" i="55"/>
  <c r="I157" i="55" s="1"/>
  <c r="AY157" i="55" s="1"/>
  <c r="F158" i="55"/>
  <c r="I158" i="55" s="1"/>
  <c r="AY158" i="55" s="1"/>
  <c r="F159" i="55"/>
  <c r="I159" i="55" s="1"/>
  <c r="AY159" i="55" s="1"/>
  <c r="F160" i="55"/>
  <c r="I160" i="55" s="1"/>
  <c r="AY160" i="55" s="1"/>
  <c r="F161" i="55"/>
  <c r="I161" i="55" s="1"/>
  <c r="AY161" i="55" s="1"/>
  <c r="F162" i="55"/>
  <c r="I162" i="55" s="1"/>
  <c r="AY162" i="55" s="1"/>
  <c r="F163" i="55"/>
  <c r="I163" i="55" s="1"/>
  <c r="AY163" i="55" s="1"/>
  <c r="F164" i="55"/>
  <c r="I164" i="55" s="1"/>
  <c r="AY164" i="55" s="1"/>
  <c r="F165" i="55"/>
  <c r="I165" i="55" s="1"/>
  <c r="AY165" i="55" s="1"/>
  <c r="F166" i="55"/>
  <c r="I166" i="55" s="1"/>
  <c r="AY166" i="55" s="1"/>
  <c r="F167" i="55"/>
  <c r="I167" i="55" s="1"/>
  <c r="AY167" i="55" s="1"/>
  <c r="F168" i="55"/>
  <c r="I168" i="55" s="1"/>
  <c r="AY168" i="55" s="1"/>
  <c r="F169" i="55"/>
  <c r="I169" i="55" s="1"/>
  <c r="AY169" i="55" s="1"/>
  <c r="F170" i="55"/>
  <c r="I170" i="55" s="1"/>
  <c r="AY170" i="55" s="1"/>
  <c r="F171" i="55"/>
  <c r="I171" i="55" s="1"/>
  <c r="AY171" i="55" s="1"/>
  <c r="F172" i="55"/>
  <c r="I172" i="55" s="1"/>
  <c r="AY172" i="55" s="1"/>
  <c r="F173" i="55"/>
  <c r="I173" i="55" s="1"/>
  <c r="AY173" i="55" s="1"/>
  <c r="F174" i="55"/>
  <c r="I174" i="55" s="1"/>
  <c r="AY174" i="55" s="1"/>
  <c r="F175" i="55"/>
  <c r="I175" i="55" s="1"/>
  <c r="AY175" i="55" s="1"/>
  <c r="F176" i="55"/>
  <c r="I176" i="55" s="1"/>
  <c r="AY176" i="55" s="1"/>
  <c r="F177" i="55"/>
  <c r="I177" i="55" s="1"/>
  <c r="AY177" i="55" s="1"/>
  <c r="F178" i="55"/>
  <c r="I178" i="55" s="1"/>
  <c r="AY178" i="55" s="1"/>
  <c r="F179" i="55"/>
  <c r="I179" i="55" s="1"/>
  <c r="AY179" i="55" s="1"/>
  <c r="F180" i="55"/>
  <c r="I180" i="55" s="1"/>
  <c r="AY180" i="55" s="1"/>
  <c r="F181" i="55"/>
  <c r="I181" i="55" s="1"/>
  <c r="AY181" i="55" s="1"/>
  <c r="F182" i="55"/>
  <c r="I182" i="55" s="1"/>
  <c r="AY182" i="55" s="1"/>
  <c r="F183" i="55"/>
  <c r="I183" i="55" s="1"/>
  <c r="AY183" i="55" s="1"/>
  <c r="F184" i="55"/>
  <c r="I184" i="55" s="1"/>
  <c r="AY184" i="55" s="1"/>
  <c r="F185" i="55"/>
  <c r="I185" i="55" s="1"/>
  <c r="AY185" i="55" s="1"/>
  <c r="F186" i="55"/>
  <c r="I186" i="55" s="1"/>
  <c r="AY186" i="55" s="1"/>
  <c r="F187" i="55"/>
  <c r="I187" i="55" s="1"/>
  <c r="AY187" i="55" s="1"/>
  <c r="F188" i="55"/>
  <c r="I188" i="55" s="1"/>
  <c r="AY188" i="55" s="1"/>
  <c r="F189" i="55"/>
  <c r="I189" i="55" s="1"/>
  <c r="AY189" i="55" s="1"/>
  <c r="F190" i="55"/>
  <c r="I190" i="55" s="1"/>
  <c r="AY190" i="55" s="1"/>
  <c r="F191" i="55"/>
  <c r="I191" i="55" s="1"/>
  <c r="AY191" i="55" s="1"/>
  <c r="F192" i="55"/>
  <c r="I192" i="55" s="1"/>
  <c r="AY192" i="55" s="1"/>
  <c r="F193" i="55"/>
  <c r="I193" i="55" s="1"/>
  <c r="AY193" i="55" s="1"/>
  <c r="F194" i="55"/>
  <c r="I194" i="55" s="1"/>
  <c r="AY194" i="55" s="1"/>
  <c r="F195" i="55"/>
  <c r="I195" i="55" s="1"/>
  <c r="AY195" i="55" s="1"/>
  <c r="F196" i="55"/>
  <c r="I196" i="55" s="1"/>
  <c r="AY196" i="55" s="1"/>
  <c r="F197" i="55"/>
  <c r="I197" i="55" s="1"/>
  <c r="AY197" i="55" s="1"/>
  <c r="F198" i="55"/>
  <c r="I198" i="55" s="1"/>
  <c r="AY198" i="55" s="1"/>
  <c r="F199" i="55"/>
  <c r="I199" i="55" s="1"/>
  <c r="AY199" i="55" s="1"/>
  <c r="F200" i="55"/>
  <c r="I200" i="55" s="1"/>
  <c r="AY200" i="55" s="1"/>
  <c r="F201" i="55"/>
  <c r="I201" i="55" s="1"/>
  <c r="AY201" i="55" s="1"/>
  <c r="F202" i="55"/>
  <c r="I202" i="55" s="1"/>
  <c r="AY202" i="55" s="1"/>
  <c r="F203" i="55"/>
  <c r="I203" i="55" s="1"/>
  <c r="AY203" i="55" s="1"/>
  <c r="F204" i="55"/>
  <c r="I204" i="55" s="1"/>
  <c r="AY204" i="55" s="1"/>
  <c r="F205" i="55"/>
  <c r="I205" i="55" s="1"/>
  <c r="AY205" i="55" s="1"/>
  <c r="F206" i="55"/>
  <c r="I206" i="55" s="1"/>
  <c r="AY206" i="55" s="1"/>
  <c r="F207" i="55"/>
  <c r="I207" i="55" s="1"/>
  <c r="AY207" i="55" s="1"/>
  <c r="F208" i="55"/>
  <c r="I208" i="55" s="1"/>
  <c r="AY208" i="55" s="1"/>
  <c r="F209" i="55"/>
  <c r="I209" i="55" s="1"/>
  <c r="AY209" i="55" s="1"/>
  <c r="F210" i="55"/>
  <c r="I210" i="55" s="1"/>
  <c r="AY210" i="55" s="1"/>
  <c r="F211" i="55"/>
  <c r="I211" i="55" s="1"/>
  <c r="AY211" i="55" s="1"/>
  <c r="F212" i="55"/>
  <c r="I212" i="55" s="1"/>
  <c r="AY212" i="55" s="1"/>
  <c r="F213" i="55"/>
  <c r="I213" i="55" s="1"/>
  <c r="AY213" i="55" s="1"/>
  <c r="F214" i="55"/>
  <c r="I214" i="55" s="1"/>
  <c r="AY214" i="55" s="1"/>
  <c r="F215" i="55"/>
  <c r="I215" i="55" s="1"/>
  <c r="AY215" i="55" s="1"/>
  <c r="F216" i="55"/>
  <c r="I216" i="55" s="1"/>
  <c r="AY216" i="55" s="1"/>
  <c r="F217" i="55"/>
  <c r="I217" i="55" s="1"/>
  <c r="AY217" i="55" s="1"/>
  <c r="F218" i="55"/>
  <c r="I218" i="55" s="1"/>
  <c r="AY218" i="55" s="1"/>
  <c r="F219" i="55"/>
  <c r="I219" i="55" s="1"/>
  <c r="AY219" i="55" s="1"/>
  <c r="F220" i="55"/>
  <c r="I220" i="55" s="1"/>
  <c r="AY220" i="55" s="1"/>
  <c r="F221" i="55"/>
  <c r="I221" i="55" s="1"/>
  <c r="AY221" i="55" s="1"/>
  <c r="F222" i="55"/>
  <c r="I222" i="55" s="1"/>
  <c r="AY222" i="55" s="1"/>
  <c r="F223" i="55"/>
  <c r="I223" i="55" s="1"/>
  <c r="AY223" i="55" s="1"/>
  <c r="F224" i="55"/>
  <c r="I224" i="55" s="1"/>
  <c r="AY224" i="55" s="1"/>
  <c r="F225" i="55"/>
  <c r="I225" i="55" s="1"/>
  <c r="AY225" i="55" s="1"/>
  <c r="F226" i="55"/>
  <c r="I226" i="55" s="1"/>
  <c r="AY226" i="55" s="1"/>
  <c r="F227" i="55"/>
  <c r="I227" i="55" s="1"/>
  <c r="AY227" i="55" s="1"/>
  <c r="F228" i="55"/>
  <c r="I228" i="55" s="1"/>
  <c r="AY228" i="55" s="1"/>
  <c r="F229" i="55"/>
  <c r="I229" i="55" s="1"/>
  <c r="AY229" i="55" s="1"/>
  <c r="F230" i="55"/>
  <c r="I230" i="55" s="1"/>
  <c r="AY230" i="55" s="1"/>
  <c r="F231" i="55"/>
  <c r="I231" i="55" s="1"/>
  <c r="AY231" i="55" s="1"/>
  <c r="F232" i="55"/>
  <c r="I232" i="55" s="1"/>
  <c r="AY232" i="55" s="1"/>
  <c r="F233" i="55"/>
  <c r="I233" i="55" s="1"/>
  <c r="AY233" i="55" s="1"/>
  <c r="F234" i="55"/>
  <c r="I234" i="55" s="1"/>
  <c r="AY234" i="55" s="1"/>
  <c r="F235" i="55"/>
  <c r="I235" i="55" s="1"/>
  <c r="AY235" i="55" s="1"/>
  <c r="F236" i="55"/>
  <c r="I236" i="55" s="1"/>
  <c r="AY236" i="55" s="1"/>
  <c r="F237" i="55"/>
  <c r="I237" i="55" s="1"/>
  <c r="AY237" i="55" s="1"/>
  <c r="F238" i="55"/>
  <c r="I238" i="55" s="1"/>
  <c r="AY238" i="55" s="1"/>
  <c r="F239" i="55"/>
  <c r="I239" i="55" s="1"/>
  <c r="AY239" i="55" s="1"/>
  <c r="F240" i="55"/>
  <c r="I240" i="55" s="1"/>
  <c r="AY240" i="55" s="1"/>
  <c r="F241" i="55"/>
  <c r="I241" i="55" s="1"/>
  <c r="AY241" i="55" s="1"/>
  <c r="F242" i="55"/>
  <c r="I242" i="55" s="1"/>
  <c r="AY242" i="55" s="1"/>
  <c r="F243" i="55"/>
  <c r="I243" i="55" s="1"/>
  <c r="AY243" i="55" s="1"/>
  <c r="F244" i="55"/>
  <c r="I244" i="55" s="1"/>
  <c r="AY244" i="55" s="1"/>
  <c r="F245" i="55"/>
  <c r="I245" i="55" s="1"/>
  <c r="AY245" i="55" s="1"/>
  <c r="F246" i="55"/>
  <c r="I246" i="55" s="1"/>
  <c r="AY246" i="55" s="1"/>
  <c r="F247" i="55"/>
  <c r="I247" i="55" s="1"/>
  <c r="AY247" i="55" s="1"/>
  <c r="F248" i="55"/>
  <c r="I248" i="55" s="1"/>
  <c r="AY248" i="55" s="1"/>
  <c r="F249" i="55"/>
  <c r="I249" i="55" s="1"/>
  <c r="AY249" i="55" s="1"/>
  <c r="F250" i="55"/>
  <c r="I250" i="55" s="1"/>
  <c r="AY250" i="55" s="1"/>
  <c r="F251" i="55"/>
  <c r="I251" i="55" s="1"/>
  <c r="AY251" i="55" s="1"/>
  <c r="F252" i="55"/>
  <c r="I252" i="55" s="1"/>
  <c r="AY252" i="55" s="1"/>
  <c r="F253" i="55"/>
  <c r="I253" i="55" s="1"/>
  <c r="AY253" i="55" s="1"/>
  <c r="F254" i="55"/>
  <c r="I254" i="55" s="1"/>
  <c r="AY254" i="55" s="1"/>
  <c r="F255" i="55"/>
  <c r="I255" i="55" s="1"/>
  <c r="AY255" i="55" s="1"/>
  <c r="F256" i="55"/>
  <c r="I256" i="55" s="1"/>
  <c r="AY256" i="55" s="1"/>
  <c r="F257" i="55"/>
  <c r="I257" i="55" s="1"/>
  <c r="AY257" i="55" s="1"/>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s="1"/>
  <c r="M14" i="42"/>
  <c r="P14" i="42" s="1"/>
  <c r="M15" i="42"/>
  <c r="P15" i="42" s="1"/>
  <c r="M16" i="42"/>
  <c r="P16" i="42" s="1"/>
  <c r="M17" i="42"/>
  <c r="P17" i="42" s="1"/>
  <c r="M18" i="42"/>
  <c r="P18" i="42" s="1"/>
  <c r="M19" i="42"/>
  <c r="P19" i="42" s="1"/>
  <c r="M20" i="42"/>
  <c r="P20" i="42" s="1"/>
  <c r="M21" i="42"/>
  <c r="P21" i="42" s="1"/>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l="1"/>
  <c r="U252" i="42" s="1"/>
  <c r="P252" i="42"/>
  <c r="Q240" i="42"/>
  <c r="P240" i="42"/>
  <c r="Q232" i="42"/>
  <c r="U232" i="42" s="1"/>
  <c r="P232" i="42"/>
  <c r="Q220" i="42"/>
  <c r="U220" i="42" s="1"/>
  <c r="P220" i="42"/>
  <c r="Q212" i="42"/>
  <c r="U212" i="42" s="1"/>
  <c r="P212" i="42"/>
  <c r="Q200" i="42"/>
  <c r="P200" i="42"/>
  <c r="Q196" i="42"/>
  <c r="U196" i="42" s="1"/>
  <c r="P196" i="42"/>
  <c r="Q184" i="42"/>
  <c r="U184" i="42" s="1"/>
  <c r="P184" i="42"/>
  <c r="Q176" i="42"/>
  <c r="U176" i="42" s="1"/>
  <c r="P176" i="42"/>
  <c r="Q164" i="42"/>
  <c r="P164" i="42"/>
  <c r="Q156" i="42"/>
  <c r="U156" i="42" s="1"/>
  <c r="P156" i="42"/>
  <c r="Q144" i="42"/>
  <c r="P144" i="42"/>
  <c r="Q136" i="42"/>
  <c r="U136" i="42" s="1"/>
  <c r="P136" i="42"/>
  <c r="Q128" i="42"/>
  <c r="P128" i="42"/>
  <c r="Q120" i="42"/>
  <c r="U120" i="42" s="1"/>
  <c r="P120" i="42"/>
  <c r="Q108" i="42"/>
  <c r="U108" i="42" s="1"/>
  <c r="P108" i="42"/>
  <c r="Q92" i="42"/>
  <c r="U92" i="42" s="1"/>
  <c r="P92" i="42"/>
  <c r="Q84" i="42"/>
  <c r="P84" i="42"/>
  <c r="Q72" i="42"/>
  <c r="U72" i="42" s="1"/>
  <c r="P72" i="42"/>
  <c r="Q259" i="42"/>
  <c r="U259" i="42" s="1"/>
  <c r="P259" i="42"/>
  <c r="Q255" i="42"/>
  <c r="U255" i="42" s="1"/>
  <c r="P255" i="42"/>
  <c r="Q251" i="42"/>
  <c r="P251" i="42"/>
  <c r="Q247" i="42"/>
  <c r="U247" i="42" s="1"/>
  <c r="P247" i="42"/>
  <c r="Q243" i="42"/>
  <c r="U243" i="42" s="1"/>
  <c r="P243" i="42"/>
  <c r="Q239" i="42"/>
  <c r="P239" i="42"/>
  <c r="Q235" i="42"/>
  <c r="P235" i="42"/>
  <c r="Q231" i="42"/>
  <c r="U231" i="42" s="1"/>
  <c r="P231" i="42"/>
  <c r="Q227" i="42"/>
  <c r="U227" i="42" s="1"/>
  <c r="P227" i="42"/>
  <c r="Q223" i="42"/>
  <c r="U223" i="42" s="1"/>
  <c r="P223" i="42"/>
  <c r="Q219" i="42"/>
  <c r="P219" i="42"/>
  <c r="Q215" i="42"/>
  <c r="U215" i="42" s="1"/>
  <c r="P215" i="42"/>
  <c r="Q211" i="42"/>
  <c r="P211" i="42"/>
  <c r="Q207" i="42"/>
  <c r="P207" i="42"/>
  <c r="Q203" i="42"/>
  <c r="P203" i="42"/>
  <c r="Q199" i="42"/>
  <c r="U199" i="42" s="1"/>
  <c r="P199" i="42"/>
  <c r="Q195" i="42"/>
  <c r="U195" i="42" s="1"/>
  <c r="P195" i="42"/>
  <c r="Q191" i="42"/>
  <c r="U191" i="42" s="1"/>
  <c r="P191" i="42"/>
  <c r="Q187" i="42"/>
  <c r="P187" i="42"/>
  <c r="Q183" i="42"/>
  <c r="U183" i="42" s="1"/>
  <c r="P183" i="42"/>
  <c r="Q179" i="42"/>
  <c r="U179" i="42" s="1"/>
  <c r="P179" i="42"/>
  <c r="Q175" i="42"/>
  <c r="P175" i="42"/>
  <c r="Q171" i="42"/>
  <c r="P171" i="42"/>
  <c r="Q167" i="42"/>
  <c r="U167" i="42" s="1"/>
  <c r="P167" i="42"/>
  <c r="Q163" i="42"/>
  <c r="U163" i="42" s="1"/>
  <c r="P163" i="42"/>
  <c r="Q159" i="42"/>
  <c r="U159" i="42" s="1"/>
  <c r="P159" i="42"/>
  <c r="Q155" i="42"/>
  <c r="P155" i="42"/>
  <c r="Q151" i="42"/>
  <c r="U151" i="42" s="1"/>
  <c r="P151" i="42"/>
  <c r="Q147" i="42"/>
  <c r="P147" i="42"/>
  <c r="Q143" i="42"/>
  <c r="P143" i="42"/>
  <c r="Q139" i="42"/>
  <c r="P139" i="42"/>
  <c r="Q135" i="42"/>
  <c r="U135" i="42" s="1"/>
  <c r="P135" i="42"/>
  <c r="Q131" i="42"/>
  <c r="U131" i="42" s="1"/>
  <c r="P131" i="42"/>
  <c r="Q127" i="42"/>
  <c r="U127" i="42" s="1"/>
  <c r="P127" i="42"/>
  <c r="Q123" i="42"/>
  <c r="P123" i="42"/>
  <c r="Q119" i="42"/>
  <c r="U119" i="42" s="1"/>
  <c r="P119" i="42"/>
  <c r="Q115" i="42"/>
  <c r="U115" i="42" s="1"/>
  <c r="P115" i="42"/>
  <c r="Q111" i="42"/>
  <c r="P111" i="42"/>
  <c r="Q107" i="42"/>
  <c r="P107" i="42"/>
  <c r="Q103" i="42"/>
  <c r="U103" i="42" s="1"/>
  <c r="P103" i="42"/>
  <c r="Q99" i="42"/>
  <c r="U99" i="42" s="1"/>
  <c r="P99" i="42"/>
  <c r="Q95" i="42"/>
  <c r="U95" i="42" s="1"/>
  <c r="P95" i="42"/>
  <c r="Q91" i="42"/>
  <c r="P91" i="42"/>
  <c r="Q87" i="42"/>
  <c r="U87" i="42" s="1"/>
  <c r="P87" i="42"/>
  <c r="Q83" i="42"/>
  <c r="P83" i="42"/>
  <c r="Q79" i="42"/>
  <c r="P79" i="42"/>
  <c r="Q75" i="42"/>
  <c r="P75" i="42"/>
  <c r="Q71" i="42"/>
  <c r="U71" i="42" s="1"/>
  <c r="P71" i="42"/>
  <c r="Q67" i="42"/>
  <c r="U67" i="42" s="1"/>
  <c r="P67" i="42"/>
  <c r="Q63" i="42"/>
  <c r="U63" i="42" s="1"/>
  <c r="P63" i="42"/>
  <c r="Q59" i="42"/>
  <c r="P59" i="42"/>
  <c r="Q55" i="42"/>
  <c r="U55" i="42" s="1"/>
  <c r="P55" i="42"/>
  <c r="Q51" i="42"/>
  <c r="U51" i="42" s="1"/>
  <c r="P51" i="42"/>
  <c r="Q47" i="42"/>
  <c r="P47" i="42"/>
  <c r="Q43" i="42"/>
  <c r="P43" i="42"/>
  <c r="Q39" i="42"/>
  <c r="U39" i="42" s="1"/>
  <c r="P39" i="42"/>
  <c r="Q35" i="42"/>
  <c r="P35" i="42"/>
  <c r="Q31" i="42"/>
  <c r="P31" i="42"/>
  <c r="Q27" i="42"/>
  <c r="P27" i="42"/>
  <c r="Q23" i="42"/>
  <c r="P23" i="42"/>
  <c r="Q248" i="42"/>
  <c r="U248" i="42" s="1"/>
  <c r="P248" i="42"/>
  <c r="Q224" i="42"/>
  <c r="P224" i="42"/>
  <c r="Q208" i="42"/>
  <c r="P208" i="42"/>
  <c r="Q188" i="42"/>
  <c r="U188" i="42" s="1"/>
  <c r="P188" i="42"/>
  <c r="Q168" i="42"/>
  <c r="U168" i="42" s="1"/>
  <c r="P168" i="42"/>
  <c r="Q152" i="42"/>
  <c r="U152" i="42" s="1"/>
  <c r="P152" i="42"/>
  <c r="Q132" i="42"/>
  <c r="P132" i="42"/>
  <c r="Q112" i="42"/>
  <c r="U112" i="42" s="1"/>
  <c r="P112" i="42"/>
  <c r="Q100" i="42"/>
  <c r="U100" i="42" s="1"/>
  <c r="P100" i="42"/>
  <c r="Q80" i="42"/>
  <c r="U80" i="42" s="1"/>
  <c r="P80" i="42"/>
  <c r="Q64" i="42"/>
  <c r="P64" i="42"/>
  <c r="Q52" i="42"/>
  <c r="U52" i="42" s="1"/>
  <c r="P52" i="42"/>
  <c r="Q40" i="42"/>
  <c r="U40" i="42" s="1"/>
  <c r="P40" i="42"/>
  <c r="Q24" i="42"/>
  <c r="P24" i="42"/>
  <c r="Q250" i="42"/>
  <c r="P250" i="42"/>
  <c r="Q238" i="42"/>
  <c r="U238" i="42" s="1"/>
  <c r="P238" i="42"/>
  <c r="Q230" i="42"/>
  <c r="U230" i="42" s="1"/>
  <c r="P230" i="42"/>
  <c r="Q218" i="42"/>
  <c r="U218" i="42" s="1"/>
  <c r="P218" i="42"/>
  <c r="Q206" i="42"/>
  <c r="P206" i="42"/>
  <c r="Q198" i="42"/>
  <c r="U198" i="42" s="1"/>
  <c r="P198" i="42"/>
  <c r="Q186" i="42"/>
  <c r="U186" i="42" s="1"/>
  <c r="P186" i="42"/>
  <c r="Q174" i="42"/>
  <c r="U174" i="42" s="1"/>
  <c r="P174" i="42"/>
  <c r="Q162" i="42"/>
  <c r="P162" i="42"/>
  <c r="Q150" i="42"/>
  <c r="P150" i="42"/>
  <c r="Q138" i="42"/>
  <c r="P138" i="42"/>
  <c r="Q130" i="42"/>
  <c r="U130" i="42" s="1"/>
  <c r="P130" i="42"/>
  <c r="Q118" i="42"/>
  <c r="P118" i="42"/>
  <c r="Q106" i="42"/>
  <c r="U106" i="42" s="1"/>
  <c r="P106" i="42"/>
  <c r="Q94" i="42"/>
  <c r="U94" i="42" s="1"/>
  <c r="P94" i="42"/>
  <c r="Q86" i="42"/>
  <c r="P86" i="42"/>
  <c r="Q74" i="42"/>
  <c r="P74" i="42"/>
  <c r="Q58" i="42"/>
  <c r="U58" i="42" s="1"/>
  <c r="P58" i="42"/>
  <c r="Q22" i="42"/>
  <c r="P22" i="42"/>
  <c r="Q256" i="42"/>
  <c r="P256" i="42"/>
  <c r="Q244" i="42"/>
  <c r="P244" i="42"/>
  <c r="Q236" i="42"/>
  <c r="P236" i="42"/>
  <c r="Q228" i="42"/>
  <c r="U228" i="42" s="1"/>
  <c r="P228" i="42"/>
  <c r="Q216" i="42"/>
  <c r="U216" i="42" s="1"/>
  <c r="P216" i="42"/>
  <c r="Q204" i="42"/>
  <c r="P204" i="42"/>
  <c r="Q192" i="42"/>
  <c r="P192" i="42"/>
  <c r="Q180" i="42"/>
  <c r="U180" i="42" s="1"/>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Q36" i="42"/>
  <c r="P36" i="42"/>
  <c r="Q32" i="42"/>
  <c r="P32" i="42"/>
  <c r="Q28" i="42"/>
  <c r="P28" i="42"/>
  <c r="Q258" i="42"/>
  <c r="P258" i="42"/>
  <c r="Q254" i="42"/>
  <c r="U254" i="42" s="1"/>
  <c r="P254" i="42"/>
  <c r="Q246" i="42"/>
  <c r="P246" i="42"/>
  <c r="Q242" i="42"/>
  <c r="P242" i="42"/>
  <c r="Q234" i="42"/>
  <c r="U234" i="42" s="1"/>
  <c r="P234" i="42"/>
  <c r="Q226" i="42"/>
  <c r="U226" i="42" s="1"/>
  <c r="P226" i="42"/>
  <c r="Q222" i="42"/>
  <c r="U222" i="42" s="1"/>
  <c r="P222" i="42"/>
  <c r="Q214" i="42"/>
  <c r="P214" i="42"/>
  <c r="Q210" i="42"/>
  <c r="U210" i="42" s="1"/>
  <c r="P210" i="42"/>
  <c r="Q202" i="42"/>
  <c r="U202" i="42" s="1"/>
  <c r="P202" i="42"/>
  <c r="Q194" i="42"/>
  <c r="U194" i="42" s="1"/>
  <c r="P194" i="42"/>
  <c r="Q190" i="42"/>
  <c r="P190" i="42"/>
  <c r="Q182" i="42"/>
  <c r="P182" i="42"/>
  <c r="Q178" i="42"/>
  <c r="U178" i="42" s="1"/>
  <c r="P178" i="42"/>
  <c r="Q170" i="42"/>
  <c r="U170" i="42" s="1"/>
  <c r="P170" i="42"/>
  <c r="Q166" i="42"/>
  <c r="P166" i="42"/>
  <c r="Q158" i="42"/>
  <c r="U158" i="42" s="1"/>
  <c r="P158" i="42"/>
  <c r="Q154" i="42"/>
  <c r="U154" i="42" s="1"/>
  <c r="P154" i="42"/>
  <c r="Q146" i="42"/>
  <c r="P146" i="42"/>
  <c r="Q142" i="42"/>
  <c r="P142" i="42"/>
  <c r="Q134" i="42"/>
  <c r="U134" i="42" s="1"/>
  <c r="P134" i="42"/>
  <c r="Q126" i="42"/>
  <c r="U126" i="42" s="1"/>
  <c r="P126" i="42"/>
  <c r="Q122" i="42"/>
  <c r="U122" i="42" s="1"/>
  <c r="P122" i="42"/>
  <c r="Q114" i="42"/>
  <c r="P114" i="42"/>
  <c r="Q110" i="42"/>
  <c r="U110" i="42" s="1"/>
  <c r="P110" i="42"/>
  <c r="Q102" i="42"/>
  <c r="U102" i="42" s="1"/>
  <c r="P102" i="42"/>
  <c r="Q98" i="42"/>
  <c r="U98" i="42" s="1"/>
  <c r="P98" i="42"/>
  <c r="Q90" i="42"/>
  <c r="P90" i="42"/>
  <c r="Q82" i="42"/>
  <c r="P82" i="42"/>
  <c r="Q78" i="42"/>
  <c r="P78" i="42"/>
  <c r="Q70" i="42"/>
  <c r="U70" i="42" s="1"/>
  <c r="P70" i="42"/>
  <c r="Q66" i="42"/>
  <c r="P66" i="42"/>
  <c r="Q62" i="42"/>
  <c r="U62" i="42" s="1"/>
  <c r="P62" i="42"/>
  <c r="Q54" i="42"/>
  <c r="U54" i="42" s="1"/>
  <c r="P54" i="42"/>
  <c r="Q50" i="42"/>
  <c r="P50" i="42"/>
  <c r="Q46" i="42"/>
  <c r="P46" i="42"/>
  <c r="Q42" i="42"/>
  <c r="U42" i="42" s="1"/>
  <c r="P42" i="42"/>
  <c r="Q38" i="42"/>
  <c r="U38" i="42" s="1"/>
  <c r="P38" i="42"/>
  <c r="Q34" i="42"/>
  <c r="P34" i="42"/>
  <c r="Q30" i="42"/>
  <c r="P30" i="42"/>
  <c r="Q26" i="42"/>
  <c r="P26" i="42"/>
  <c r="Q257" i="42"/>
  <c r="U257" i="42" s="1"/>
  <c r="P257" i="42"/>
  <c r="Q253" i="42"/>
  <c r="U253" i="42" s="1"/>
  <c r="P253" i="42"/>
  <c r="Q249" i="42"/>
  <c r="P249" i="42"/>
  <c r="Q245" i="42"/>
  <c r="P245" i="42"/>
  <c r="Q241" i="42"/>
  <c r="U241" i="42" s="1"/>
  <c r="P241" i="42"/>
  <c r="Q237" i="42"/>
  <c r="U237" i="42" s="1"/>
  <c r="P237" i="42"/>
  <c r="Q233" i="42"/>
  <c r="P233" i="42"/>
  <c r="Q229" i="42"/>
  <c r="U229" i="42" s="1"/>
  <c r="P229" i="42"/>
  <c r="Q225" i="42"/>
  <c r="U225" i="42" s="1"/>
  <c r="P225" i="42"/>
  <c r="Q221" i="42"/>
  <c r="P221" i="42"/>
  <c r="Q217" i="42"/>
  <c r="P217" i="42"/>
  <c r="Q213" i="42"/>
  <c r="U213" i="42" s="1"/>
  <c r="P213" i="42"/>
  <c r="Q209" i="42"/>
  <c r="P209" i="42"/>
  <c r="Q205" i="42"/>
  <c r="U205" i="42" s="1"/>
  <c r="P205" i="42"/>
  <c r="Q201" i="42"/>
  <c r="P201" i="42"/>
  <c r="Q197" i="42"/>
  <c r="U197" i="42" s="1"/>
  <c r="P197" i="42"/>
  <c r="Q193" i="42"/>
  <c r="U193" i="42" s="1"/>
  <c r="P193" i="42"/>
  <c r="Q189" i="42"/>
  <c r="P189" i="42"/>
  <c r="Q185" i="42"/>
  <c r="U185" i="42" s="1"/>
  <c r="P185" i="42"/>
  <c r="Q181" i="42"/>
  <c r="U181" i="42" s="1"/>
  <c r="P181" i="42"/>
  <c r="Q177" i="42"/>
  <c r="U177" i="42" s="1"/>
  <c r="P177" i="42"/>
  <c r="Q173" i="42"/>
  <c r="U173" i="42" s="1"/>
  <c r="P173" i="42"/>
  <c r="Q169" i="42"/>
  <c r="P169" i="42"/>
  <c r="Q165" i="42"/>
  <c r="U165" i="42" s="1"/>
  <c r="P165" i="42"/>
  <c r="Q161" i="42"/>
  <c r="U161" i="42" s="1"/>
  <c r="P161" i="42"/>
  <c r="Q157" i="42"/>
  <c r="U157" i="42" s="1"/>
  <c r="P157" i="42"/>
  <c r="Q153" i="42"/>
  <c r="U153" i="42" s="1"/>
  <c r="P153" i="42"/>
  <c r="Q149" i="42"/>
  <c r="P149" i="42"/>
  <c r="Q145" i="42"/>
  <c r="U145" i="42" s="1"/>
  <c r="P145" i="42"/>
  <c r="Q141" i="42"/>
  <c r="U141" i="42" s="1"/>
  <c r="P141" i="42"/>
  <c r="Q137" i="42"/>
  <c r="P137" i="42"/>
  <c r="Q133" i="42"/>
  <c r="U133" i="42" s="1"/>
  <c r="P133" i="42"/>
  <c r="Q129" i="42"/>
  <c r="U129" i="42" s="1"/>
  <c r="P129" i="42"/>
  <c r="Q125" i="42"/>
  <c r="U125" i="42" s="1"/>
  <c r="P125" i="42"/>
  <c r="Q121" i="42"/>
  <c r="U121" i="42" s="1"/>
  <c r="P121" i="42"/>
  <c r="Q117" i="42"/>
  <c r="U117" i="42" s="1"/>
  <c r="P117" i="42"/>
  <c r="Q113" i="42"/>
  <c r="P113" i="42"/>
  <c r="Q109" i="42"/>
  <c r="U109" i="42" s="1"/>
  <c r="P109" i="42"/>
  <c r="Q105" i="42"/>
  <c r="P105" i="42"/>
  <c r="Q101" i="42"/>
  <c r="U101" i="42" s="1"/>
  <c r="P101" i="42"/>
  <c r="Q97" i="42"/>
  <c r="U97" i="42" s="1"/>
  <c r="P97" i="42"/>
  <c r="Q93" i="42"/>
  <c r="U93" i="42" s="1"/>
  <c r="P93" i="42"/>
  <c r="Q89" i="42"/>
  <c r="P89" i="42"/>
  <c r="Q85" i="42"/>
  <c r="U85" i="42" s="1"/>
  <c r="P85" i="42"/>
  <c r="Q81" i="42"/>
  <c r="U81" i="42" s="1"/>
  <c r="P81" i="42"/>
  <c r="Q77" i="42"/>
  <c r="U77" i="42" s="1"/>
  <c r="P77" i="42"/>
  <c r="Q73" i="42"/>
  <c r="P73" i="42"/>
  <c r="Q69" i="42"/>
  <c r="U69" i="42" s="1"/>
  <c r="P69" i="42"/>
  <c r="Q65" i="42"/>
  <c r="U65" i="42" s="1"/>
  <c r="P65" i="42"/>
  <c r="Q61" i="42"/>
  <c r="U61" i="42" s="1"/>
  <c r="P61" i="42"/>
  <c r="Q57" i="42"/>
  <c r="P57" i="42"/>
  <c r="Q53" i="42"/>
  <c r="U53" i="42" s="1"/>
  <c r="P53" i="42"/>
  <c r="Q49" i="42"/>
  <c r="U49" i="42" s="1"/>
  <c r="P49" i="42"/>
  <c r="Q45" i="42"/>
  <c r="U45" i="42" s="1"/>
  <c r="P45" i="42"/>
  <c r="Q41" i="42"/>
  <c r="U41" i="42" s="1"/>
  <c r="P41" i="42"/>
  <c r="Q37" i="42"/>
  <c r="P37" i="42"/>
  <c r="Q33" i="42"/>
  <c r="P33" i="42"/>
  <c r="Q29" i="42"/>
  <c r="P29" i="42"/>
  <c r="Q25" i="42"/>
  <c r="P25" i="42"/>
  <c r="N254" i="55"/>
  <c r="X254" i="55" s="1"/>
  <c r="N234" i="55"/>
  <c r="X234" i="55" s="1"/>
  <c r="N222" i="55"/>
  <c r="X222" i="55" s="1"/>
  <c r="N202" i="55"/>
  <c r="X202" i="55" s="1"/>
  <c r="N182" i="55"/>
  <c r="X182" i="55" s="1"/>
  <c r="N162" i="55"/>
  <c r="X162" i="55" s="1"/>
  <c r="N142" i="55"/>
  <c r="X142" i="55" s="1"/>
  <c r="N122" i="55"/>
  <c r="X122" i="55" s="1"/>
  <c r="N102" i="55"/>
  <c r="X102" i="55" s="1"/>
  <c r="N86" i="55"/>
  <c r="X86" i="55" s="1"/>
  <c r="N62" i="55"/>
  <c r="X62" i="55" s="1"/>
  <c r="N50" i="55"/>
  <c r="X50" i="55" s="1"/>
  <c r="N30" i="55"/>
  <c r="X30" i="55" s="1"/>
  <c r="N18" i="55"/>
  <c r="X18" i="55" s="1"/>
  <c r="N14" i="55"/>
  <c r="X14" i="55" s="1"/>
  <c r="N257" i="55"/>
  <c r="X257" i="55" s="1"/>
  <c r="N253" i="55"/>
  <c r="X253" i="55" s="1"/>
  <c r="N249" i="55"/>
  <c r="X249" i="55" s="1"/>
  <c r="N245" i="55"/>
  <c r="X245" i="55" s="1"/>
  <c r="N241" i="55"/>
  <c r="X241" i="55" s="1"/>
  <c r="N237" i="55"/>
  <c r="X237" i="55" s="1"/>
  <c r="N233" i="55"/>
  <c r="X233" i="55" s="1"/>
  <c r="N229" i="55"/>
  <c r="X229" i="55" s="1"/>
  <c r="N225" i="55"/>
  <c r="X225" i="55" s="1"/>
  <c r="N221" i="55"/>
  <c r="X221" i="55" s="1"/>
  <c r="N217" i="55"/>
  <c r="X217" i="55" s="1"/>
  <c r="N213" i="55"/>
  <c r="X213" i="55" s="1"/>
  <c r="N209" i="55"/>
  <c r="X209" i="55" s="1"/>
  <c r="N205" i="55"/>
  <c r="X205" i="55" s="1"/>
  <c r="N201" i="55"/>
  <c r="X201" i="55" s="1"/>
  <c r="N197" i="55"/>
  <c r="X197" i="55" s="1"/>
  <c r="N193" i="55"/>
  <c r="X193" i="55" s="1"/>
  <c r="N189" i="55"/>
  <c r="X189" i="55" s="1"/>
  <c r="N185" i="55"/>
  <c r="X185" i="55" s="1"/>
  <c r="N181" i="55"/>
  <c r="X181" i="55" s="1"/>
  <c r="N177" i="55"/>
  <c r="X177" i="55" s="1"/>
  <c r="N173" i="55"/>
  <c r="X173" i="55" s="1"/>
  <c r="N169" i="55"/>
  <c r="X169" i="55" s="1"/>
  <c r="N165" i="55"/>
  <c r="X165" i="55" s="1"/>
  <c r="N161" i="55"/>
  <c r="X161" i="55" s="1"/>
  <c r="N157" i="55"/>
  <c r="X157" i="55" s="1"/>
  <c r="N153" i="55"/>
  <c r="X153" i="55" s="1"/>
  <c r="N149" i="55"/>
  <c r="X149" i="55" s="1"/>
  <c r="N145" i="55"/>
  <c r="X145" i="55" s="1"/>
  <c r="N141" i="55"/>
  <c r="X141" i="55" s="1"/>
  <c r="N137" i="55"/>
  <c r="X137" i="55" s="1"/>
  <c r="N133" i="55"/>
  <c r="X133" i="55" s="1"/>
  <c r="N129" i="55"/>
  <c r="X129" i="55" s="1"/>
  <c r="N125" i="55"/>
  <c r="X125" i="55" s="1"/>
  <c r="N121" i="55"/>
  <c r="X121" i="55" s="1"/>
  <c r="N117" i="55"/>
  <c r="X117" i="55" s="1"/>
  <c r="N113" i="55"/>
  <c r="X113" i="55" s="1"/>
  <c r="N109" i="55"/>
  <c r="X109" i="55" s="1"/>
  <c r="N105" i="55"/>
  <c r="X105" i="55" s="1"/>
  <c r="N101" i="55"/>
  <c r="X101" i="55" s="1"/>
  <c r="N97" i="55"/>
  <c r="X97" i="55" s="1"/>
  <c r="N93" i="55"/>
  <c r="X93" i="55" s="1"/>
  <c r="N89" i="55"/>
  <c r="X89" i="55" s="1"/>
  <c r="N85" i="55"/>
  <c r="X85" i="55" s="1"/>
  <c r="N81" i="55"/>
  <c r="X81" i="55" s="1"/>
  <c r="N77" i="55"/>
  <c r="X77" i="55" s="1"/>
  <c r="N73" i="55"/>
  <c r="X73" i="55" s="1"/>
  <c r="N69" i="55"/>
  <c r="X69" i="55" s="1"/>
  <c r="N65" i="55"/>
  <c r="X65" i="55" s="1"/>
  <c r="N61" i="55"/>
  <c r="X61" i="55" s="1"/>
  <c r="N57" i="55"/>
  <c r="X57" i="55" s="1"/>
  <c r="N53" i="55"/>
  <c r="X53" i="55" s="1"/>
  <c r="N49" i="55"/>
  <c r="X49" i="55" s="1"/>
  <c r="N45" i="55"/>
  <c r="X45" i="55" s="1"/>
  <c r="N41" i="55"/>
  <c r="X41" i="55" s="1"/>
  <c r="N37" i="55"/>
  <c r="X37" i="55" s="1"/>
  <c r="N33" i="55"/>
  <c r="X33" i="55" s="1"/>
  <c r="N29" i="55"/>
  <c r="X29" i="55" s="1"/>
  <c r="N25" i="55"/>
  <c r="X25" i="55" s="1"/>
  <c r="N21" i="55"/>
  <c r="X21" i="55" s="1"/>
  <c r="N17" i="55"/>
  <c r="X17" i="55" s="1"/>
  <c r="N13" i="55"/>
  <c r="X13" i="55" s="1"/>
  <c r="N250" i="55"/>
  <c r="X250" i="55" s="1"/>
  <c r="N238" i="55"/>
  <c r="X238" i="55" s="1"/>
  <c r="N226" i="55"/>
  <c r="X226" i="55" s="1"/>
  <c r="N214" i="55"/>
  <c r="X214" i="55" s="1"/>
  <c r="N206" i="55"/>
  <c r="X206" i="55" s="1"/>
  <c r="N198" i="55"/>
  <c r="X198" i="55" s="1"/>
  <c r="N186" i="55"/>
  <c r="X186" i="55" s="1"/>
  <c r="N178" i="55"/>
  <c r="X178" i="55" s="1"/>
  <c r="N166" i="55"/>
  <c r="X166" i="55" s="1"/>
  <c r="N154" i="55"/>
  <c r="X154" i="55" s="1"/>
  <c r="N150" i="55"/>
  <c r="X150" i="55" s="1"/>
  <c r="N138" i="55"/>
  <c r="X138" i="55" s="1"/>
  <c r="N130" i="55"/>
  <c r="X130" i="55" s="1"/>
  <c r="N114" i="55"/>
  <c r="X114" i="55" s="1"/>
  <c r="N106" i="55"/>
  <c r="X106" i="55" s="1"/>
  <c r="N94" i="55"/>
  <c r="X94" i="55" s="1"/>
  <c r="N82" i="55"/>
  <c r="X82" i="55" s="1"/>
  <c r="N74" i="55"/>
  <c r="X74" i="55" s="1"/>
  <c r="N66" i="55"/>
  <c r="X66" i="55" s="1"/>
  <c r="N54" i="55"/>
  <c r="X54" i="55" s="1"/>
  <c r="N42" i="55"/>
  <c r="X42" i="55" s="1"/>
  <c r="N34" i="55"/>
  <c r="X34" i="55" s="1"/>
  <c r="N22" i="55"/>
  <c r="X22" i="55" s="1"/>
  <c r="N256" i="55"/>
  <c r="X256" i="55" s="1"/>
  <c r="N252" i="55"/>
  <c r="X252" i="55" s="1"/>
  <c r="N248" i="55"/>
  <c r="X248" i="55" s="1"/>
  <c r="N244" i="55"/>
  <c r="X244" i="55" s="1"/>
  <c r="N240" i="55"/>
  <c r="X240" i="55" s="1"/>
  <c r="N236" i="55"/>
  <c r="X236" i="55" s="1"/>
  <c r="N232" i="55"/>
  <c r="X232" i="55" s="1"/>
  <c r="N228" i="55"/>
  <c r="X228" i="55" s="1"/>
  <c r="N224" i="55"/>
  <c r="X224" i="55" s="1"/>
  <c r="N220" i="55"/>
  <c r="X220" i="55" s="1"/>
  <c r="N216" i="55"/>
  <c r="X216" i="55" s="1"/>
  <c r="N212" i="55"/>
  <c r="X212" i="55" s="1"/>
  <c r="N208" i="55"/>
  <c r="X208" i="55" s="1"/>
  <c r="N204" i="55"/>
  <c r="X204" i="55" s="1"/>
  <c r="N200" i="55"/>
  <c r="X200" i="55" s="1"/>
  <c r="N196" i="55"/>
  <c r="X196" i="55" s="1"/>
  <c r="N192" i="55"/>
  <c r="X192" i="55" s="1"/>
  <c r="N188" i="55"/>
  <c r="X188" i="55" s="1"/>
  <c r="N184" i="55"/>
  <c r="X184" i="55" s="1"/>
  <c r="N180" i="55"/>
  <c r="X180" i="55" s="1"/>
  <c r="N176" i="55"/>
  <c r="X176" i="55" s="1"/>
  <c r="N172" i="55"/>
  <c r="X172" i="55" s="1"/>
  <c r="N168" i="55"/>
  <c r="X168" i="55" s="1"/>
  <c r="N164" i="55"/>
  <c r="X164" i="55" s="1"/>
  <c r="N160" i="55"/>
  <c r="X160" i="55" s="1"/>
  <c r="N156" i="55"/>
  <c r="X156" i="55" s="1"/>
  <c r="N152" i="55"/>
  <c r="X152" i="55" s="1"/>
  <c r="N148" i="55"/>
  <c r="X148" i="55" s="1"/>
  <c r="N144" i="55"/>
  <c r="X144" i="55" s="1"/>
  <c r="N140" i="55"/>
  <c r="X140" i="55" s="1"/>
  <c r="N136" i="55"/>
  <c r="X136" i="55" s="1"/>
  <c r="N132" i="55"/>
  <c r="X132" i="55" s="1"/>
  <c r="N128" i="55"/>
  <c r="X128" i="55" s="1"/>
  <c r="N124" i="55"/>
  <c r="X124" i="55" s="1"/>
  <c r="N120" i="55"/>
  <c r="X120" i="55" s="1"/>
  <c r="N116" i="55"/>
  <c r="X116" i="55" s="1"/>
  <c r="N112" i="55"/>
  <c r="X112" i="55" s="1"/>
  <c r="N108" i="55"/>
  <c r="X108" i="55" s="1"/>
  <c r="N104" i="55"/>
  <c r="X104" i="55" s="1"/>
  <c r="N100" i="55"/>
  <c r="X100" i="55" s="1"/>
  <c r="N96" i="55"/>
  <c r="X96" i="55" s="1"/>
  <c r="N92" i="55"/>
  <c r="X92" i="55" s="1"/>
  <c r="N88" i="55"/>
  <c r="X88" i="55" s="1"/>
  <c r="N84" i="55"/>
  <c r="X84" i="55" s="1"/>
  <c r="N80" i="55"/>
  <c r="X80" i="55" s="1"/>
  <c r="N76" i="55"/>
  <c r="X76" i="55" s="1"/>
  <c r="N72" i="55"/>
  <c r="X72" i="55" s="1"/>
  <c r="N68" i="55"/>
  <c r="X68" i="55" s="1"/>
  <c r="N64" i="55"/>
  <c r="X64" i="55" s="1"/>
  <c r="N60" i="55"/>
  <c r="X60" i="55" s="1"/>
  <c r="N56" i="55"/>
  <c r="X56" i="55" s="1"/>
  <c r="N52" i="55"/>
  <c r="X52" i="55" s="1"/>
  <c r="N48" i="55"/>
  <c r="X48" i="55" s="1"/>
  <c r="N44" i="55"/>
  <c r="X44" i="55" s="1"/>
  <c r="N40" i="55"/>
  <c r="X40" i="55" s="1"/>
  <c r="N36" i="55"/>
  <c r="X36" i="55" s="1"/>
  <c r="N32" i="55"/>
  <c r="X32" i="55" s="1"/>
  <c r="N28" i="55"/>
  <c r="X28" i="55" s="1"/>
  <c r="N24" i="55"/>
  <c r="X24" i="55" s="1"/>
  <c r="N20" i="55"/>
  <c r="X20" i="55" s="1"/>
  <c r="N16" i="55"/>
  <c r="X16" i="55" s="1"/>
  <c r="N12" i="55"/>
  <c r="X12" i="55" s="1"/>
  <c r="N246" i="55"/>
  <c r="X246" i="55" s="1"/>
  <c r="N242" i="55"/>
  <c r="X242" i="55" s="1"/>
  <c r="N230" i="55"/>
  <c r="X230" i="55" s="1"/>
  <c r="N218" i="55"/>
  <c r="X218" i="55" s="1"/>
  <c r="N210" i="55"/>
  <c r="X210" i="55" s="1"/>
  <c r="N194" i="55"/>
  <c r="X194" i="55" s="1"/>
  <c r="N190" i="55"/>
  <c r="X190" i="55" s="1"/>
  <c r="N174" i="55"/>
  <c r="X174" i="55" s="1"/>
  <c r="N170" i="55"/>
  <c r="X170" i="55" s="1"/>
  <c r="N158" i="55"/>
  <c r="X158" i="55" s="1"/>
  <c r="N146" i="55"/>
  <c r="X146" i="55" s="1"/>
  <c r="N134" i="55"/>
  <c r="X134" i="55" s="1"/>
  <c r="N126" i="55"/>
  <c r="X126" i="55" s="1"/>
  <c r="N118" i="55"/>
  <c r="X118" i="55" s="1"/>
  <c r="N110" i="55"/>
  <c r="X110" i="55" s="1"/>
  <c r="N98" i="55"/>
  <c r="X98" i="55" s="1"/>
  <c r="N90" i="55"/>
  <c r="X90" i="55" s="1"/>
  <c r="N78" i="55"/>
  <c r="X78" i="55" s="1"/>
  <c r="N70" i="55"/>
  <c r="X70" i="55" s="1"/>
  <c r="N58" i="55"/>
  <c r="X58" i="55" s="1"/>
  <c r="N46" i="55"/>
  <c r="X46" i="55" s="1"/>
  <c r="N38" i="55"/>
  <c r="X38" i="55" s="1"/>
  <c r="N26" i="55"/>
  <c r="X26" i="55" s="1"/>
  <c r="N255" i="55"/>
  <c r="X255" i="55" s="1"/>
  <c r="N251" i="55"/>
  <c r="X251" i="55" s="1"/>
  <c r="N247" i="55"/>
  <c r="X247" i="55" s="1"/>
  <c r="N243" i="55"/>
  <c r="X243" i="55" s="1"/>
  <c r="N239" i="55"/>
  <c r="X239" i="55" s="1"/>
  <c r="N235" i="55"/>
  <c r="X235" i="55" s="1"/>
  <c r="N231" i="55"/>
  <c r="X231" i="55" s="1"/>
  <c r="N227" i="55"/>
  <c r="X227" i="55" s="1"/>
  <c r="N223" i="55"/>
  <c r="X223" i="55" s="1"/>
  <c r="N219" i="55"/>
  <c r="X219" i="55" s="1"/>
  <c r="N215" i="55"/>
  <c r="X215" i="55" s="1"/>
  <c r="N211" i="55"/>
  <c r="X211" i="55" s="1"/>
  <c r="N207" i="55"/>
  <c r="X207" i="55" s="1"/>
  <c r="N203" i="55"/>
  <c r="X203" i="55" s="1"/>
  <c r="N199" i="55"/>
  <c r="X199" i="55" s="1"/>
  <c r="N195" i="55"/>
  <c r="X195" i="55" s="1"/>
  <c r="N191" i="55"/>
  <c r="X191" i="55" s="1"/>
  <c r="N187" i="55"/>
  <c r="X187" i="55" s="1"/>
  <c r="N183" i="55"/>
  <c r="X183" i="55" s="1"/>
  <c r="N179" i="55"/>
  <c r="X179" i="55" s="1"/>
  <c r="N175" i="55"/>
  <c r="X175" i="55" s="1"/>
  <c r="N171" i="55"/>
  <c r="X171" i="55" s="1"/>
  <c r="N167" i="55"/>
  <c r="X167" i="55" s="1"/>
  <c r="N163" i="55"/>
  <c r="X163" i="55" s="1"/>
  <c r="N159" i="55"/>
  <c r="X159" i="55" s="1"/>
  <c r="N155" i="55"/>
  <c r="X155" i="55" s="1"/>
  <c r="N151" i="55"/>
  <c r="X151" i="55" s="1"/>
  <c r="N147" i="55"/>
  <c r="X147" i="55" s="1"/>
  <c r="N143" i="55"/>
  <c r="X143" i="55" s="1"/>
  <c r="N139" i="55"/>
  <c r="X139" i="55" s="1"/>
  <c r="N135" i="55"/>
  <c r="X135" i="55" s="1"/>
  <c r="N131" i="55"/>
  <c r="X131" i="55" s="1"/>
  <c r="N127" i="55"/>
  <c r="X127" i="55" s="1"/>
  <c r="N123" i="55"/>
  <c r="X123" i="55" s="1"/>
  <c r="N119" i="55"/>
  <c r="X119" i="55" s="1"/>
  <c r="N115" i="55"/>
  <c r="X115" i="55" s="1"/>
  <c r="N111" i="55"/>
  <c r="X111" i="55" s="1"/>
  <c r="N107" i="55"/>
  <c r="X107" i="55" s="1"/>
  <c r="N103" i="55"/>
  <c r="X103" i="55" s="1"/>
  <c r="N99" i="55"/>
  <c r="X99" i="55" s="1"/>
  <c r="N95" i="55"/>
  <c r="X95" i="55" s="1"/>
  <c r="N91" i="55"/>
  <c r="X91" i="55" s="1"/>
  <c r="N87" i="55"/>
  <c r="X87" i="55" s="1"/>
  <c r="N83" i="55"/>
  <c r="X83" i="55" s="1"/>
  <c r="N79" i="55"/>
  <c r="X79" i="55" s="1"/>
  <c r="N75" i="55"/>
  <c r="X75" i="55" s="1"/>
  <c r="N71" i="55"/>
  <c r="X71" i="55" s="1"/>
  <c r="N67" i="55"/>
  <c r="X67" i="55" s="1"/>
  <c r="N63" i="55"/>
  <c r="X63" i="55" s="1"/>
  <c r="N59" i="55"/>
  <c r="X59" i="55" s="1"/>
  <c r="N55" i="55"/>
  <c r="X55" i="55" s="1"/>
  <c r="N51" i="55"/>
  <c r="X51" i="55" s="1"/>
  <c r="N47" i="55"/>
  <c r="X47" i="55" s="1"/>
  <c r="N43" i="55"/>
  <c r="X43" i="55" s="1"/>
  <c r="N39" i="55"/>
  <c r="X39" i="55" s="1"/>
  <c r="N35" i="55"/>
  <c r="X35" i="55" s="1"/>
  <c r="N31" i="55"/>
  <c r="X31" i="55" s="1"/>
  <c r="N27" i="55"/>
  <c r="X27" i="55" s="1"/>
  <c r="N23" i="55"/>
  <c r="X23" i="55" s="1"/>
  <c r="N19" i="55"/>
  <c r="X19" i="55" s="1"/>
  <c r="N15" i="55"/>
  <c r="X15" i="55" s="1"/>
  <c r="T156" i="22"/>
  <c r="N11" i="55"/>
  <c r="X11" i="55" s="1"/>
  <c r="U11" i="55"/>
  <c r="R257" i="42"/>
  <c r="W257" i="42" s="1"/>
  <c r="R253" i="42"/>
  <c r="W253" i="42" s="1"/>
  <c r="R249" i="42"/>
  <c r="W249" i="42" s="1"/>
  <c r="R245" i="42"/>
  <c r="W245" i="42" s="1"/>
  <c r="R241" i="42"/>
  <c r="W241" i="42" s="1"/>
  <c r="R237" i="42"/>
  <c r="W237" i="42" s="1"/>
  <c r="R233" i="42"/>
  <c r="W233" i="42" s="1"/>
  <c r="R229" i="42"/>
  <c r="W229" i="42" s="1"/>
  <c r="R225" i="42"/>
  <c r="W225" i="42" s="1"/>
  <c r="R221" i="42"/>
  <c r="W221" i="42" s="1"/>
  <c r="R217" i="42"/>
  <c r="W217" i="42" s="1"/>
  <c r="R213" i="42"/>
  <c r="W213" i="42" s="1"/>
  <c r="R209" i="42"/>
  <c r="W209" i="42" s="1"/>
  <c r="R205" i="42"/>
  <c r="W205" i="42" s="1"/>
  <c r="R201" i="42"/>
  <c r="W201" i="42" s="1"/>
  <c r="R197" i="42"/>
  <c r="W197" i="42" s="1"/>
  <c r="R193" i="42"/>
  <c r="W193" i="42" s="1"/>
  <c r="R189" i="42"/>
  <c r="W189" i="42" s="1"/>
  <c r="R185" i="42"/>
  <c r="W185" i="42" s="1"/>
  <c r="R181" i="42"/>
  <c r="W181" i="42" s="1"/>
  <c r="R177" i="42"/>
  <c r="W177" i="42" s="1"/>
  <c r="R173" i="42"/>
  <c r="W173" i="42" s="1"/>
  <c r="R169" i="42"/>
  <c r="W169" i="42" s="1"/>
  <c r="R165" i="42"/>
  <c r="W165" i="42" s="1"/>
  <c r="R161" i="42"/>
  <c r="W161" i="42" s="1"/>
  <c r="R157" i="42"/>
  <c r="W157" i="42" s="1"/>
  <c r="R153" i="42"/>
  <c r="W153" i="42" s="1"/>
  <c r="R149" i="42"/>
  <c r="W149" i="42" s="1"/>
  <c r="R145" i="42"/>
  <c r="W145" i="42" s="1"/>
  <c r="R141" i="42"/>
  <c r="W141" i="42" s="1"/>
  <c r="R137" i="42"/>
  <c r="W137" i="42" s="1"/>
  <c r="R133" i="42"/>
  <c r="W133" i="42" s="1"/>
  <c r="R129" i="42"/>
  <c r="W129" i="42" s="1"/>
  <c r="R125" i="42"/>
  <c r="W125" i="42" s="1"/>
  <c r="R121" i="42"/>
  <c r="W121" i="42" s="1"/>
  <c r="R117" i="42"/>
  <c r="W117" i="42" s="1"/>
  <c r="R113" i="42"/>
  <c r="W113" i="42" s="1"/>
  <c r="R109" i="42"/>
  <c r="W109" i="42" s="1"/>
  <c r="R105" i="42"/>
  <c r="W105" i="42" s="1"/>
  <c r="R101" i="42"/>
  <c r="W101" i="42" s="1"/>
  <c r="R97" i="42"/>
  <c r="W97" i="42" s="1"/>
  <c r="R93" i="42"/>
  <c r="W93" i="42" s="1"/>
  <c r="R89" i="42"/>
  <c r="W89" i="42" s="1"/>
  <c r="R85" i="42"/>
  <c r="W85" i="42" s="1"/>
  <c r="R81" i="42"/>
  <c r="W81" i="42" s="1"/>
  <c r="R77" i="42"/>
  <c r="W77" i="42" s="1"/>
  <c r="R73" i="42"/>
  <c r="W73" i="42" s="1"/>
  <c r="R69" i="42"/>
  <c r="W69" i="42" s="1"/>
  <c r="R65" i="42"/>
  <c r="W65" i="42" s="1"/>
  <c r="R61" i="42"/>
  <c r="W61" i="42" s="1"/>
  <c r="R57" i="42"/>
  <c r="W57" i="42" s="1"/>
  <c r="R53" i="42"/>
  <c r="W53" i="42" s="1"/>
  <c r="R49" i="42"/>
  <c r="W49" i="42" s="1"/>
  <c r="R45" i="42"/>
  <c r="W45" i="42" s="1"/>
  <c r="R41" i="42"/>
  <c r="W41" i="42" s="1"/>
  <c r="R37" i="42"/>
  <c r="W37" i="42" s="1"/>
  <c r="R33" i="42"/>
  <c r="W33" i="42" s="1"/>
  <c r="R29" i="42"/>
  <c r="W29" i="42" s="1"/>
  <c r="R25" i="42"/>
  <c r="W25" i="42" s="1"/>
  <c r="R256" i="42"/>
  <c r="W256" i="42" s="1"/>
  <c r="R252" i="42"/>
  <c r="W252" i="42" s="1"/>
  <c r="R248" i="42"/>
  <c r="W248" i="42" s="1"/>
  <c r="R244" i="42"/>
  <c r="W244" i="42" s="1"/>
  <c r="R240" i="42"/>
  <c r="W240" i="42" s="1"/>
  <c r="R236" i="42"/>
  <c r="W236" i="42" s="1"/>
  <c r="R232" i="42"/>
  <c r="W232" i="42" s="1"/>
  <c r="R228" i="42"/>
  <c r="W228" i="42" s="1"/>
  <c r="R224" i="42"/>
  <c r="W224" i="42" s="1"/>
  <c r="R220" i="42"/>
  <c r="W220" i="42" s="1"/>
  <c r="R216" i="42"/>
  <c r="W216" i="42" s="1"/>
  <c r="R212" i="42"/>
  <c r="W212" i="42" s="1"/>
  <c r="R208" i="42"/>
  <c r="W208" i="42" s="1"/>
  <c r="R204" i="42"/>
  <c r="W204" i="42" s="1"/>
  <c r="R200" i="42"/>
  <c r="W200" i="42" s="1"/>
  <c r="R196" i="42"/>
  <c r="W196" i="42" s="1"/>
  <c r="R192" i="42"/>
  <c r="W192" i="42" s="1"/>
  <c r="R188" i="42"/>
  <c r="W188" i="42" s="1"/>
  <c r="R184" i="42"/>
  <c r="W184" i="42" s="1"/>
  <c r="R180" i="42"/>
  <c r="W180" i="42" s="1"/>
  <c r="R176" i="42"/>
  <c r="W176" i="42" s="1"/>
  <c r="R172" i="42"/>
  <c r="W172" i="42" s="1"/>
  <c r="R168" i="42"/>
  <c r="W168" i="42" s="1"/>
  <c r="R164" i="42"/>
  <c r="W164" i="42" s="1"/>
  <c r="R160" i="42"/>
  <c r="W160" i="42" s="1"/>
  <c r="R156" i="42"/>
  <c r="W156" i="42" s="1"/>
  <c r="R152" i="42"/>
  <c r="W152" i="42" s="1"/>
  <c r="R148" i="42"/>
  <c r="W148" i="42" s="1"/>
  <c r="R144" i="42"/>
  <c r="W144" i="42" s="1"/>
  <c r="R140" i="42"/>
  <c r="W140" i="42" s="1"/>
  <c r="R136" i="42"/>
  <c r="W136" i="42" s="1"/>
  <c r="R132" i="42"/>
  <c r="W132" i="42" s="1"/>
  <c r="R128" i="42"/>
  <c r="W128" i="42" s="1"/>
  <c r="R124" i="42"/>
  <c r="W124" i="42" s="1"/>
  <c r="R120" i="42"/>
  <c r="W120" i="42" s="1"/>
  <c r="R116" i="42"/>
  <c r="W116" i="42" s="1"/>
  <c r="R112" i="42"/>
  <c r="W112" i="42" s="1"/>
  <c r="R108" i="42"/>
  <c r="W108" i="42" s="1"/>
  <c r="R104" i="42"/>
  <c r="W104" i="42" s="1"/>
  <c r="R100" i="42"/>
  <c r="W100" i="42" s="1"/>
  <c r="R96" i="42"/>
  <c r="W96" i="42" s="1"/>
  <c r="R92" i="42"/>
  <c r="W92" i="42" s="1"/>
  <c r="R88" i="42"/>
  <c r="W88" i="42" s="1"/>
  <c r="R84" i="42"/>
  <c r="W84" i="42" s="1"/>
  <c r="R80" i="42"/>
  <c r="W80" i="42" s="1"/>
  <c r="R76" i="42"/>
  <c r="W76" i="42" s="1"/>
  <c r="R72" i="42"/>
  <c r="W72" i="42" s="1"/>
  <c r="R68" i="42"/>
  <c r="W68" i="42" s="1"/>
  <c r="R64" i="42"/>
  <c r="W64" i="42" s="1"/>
  <c r="R60" i="42"/>
  <c r="W60" i="42" s="1"/>
  <c r="R56" i="42"/>
  <c r="W56" i="42" s="1"/>
  <c r="R52" i="42"/>
  <c r="W52" i="42" s="1"/>
  <c r="R48" i="42"/>
  <c r="W48" i="42" s="1"/>
  <c r="R44" i="42"/>
  <c r="W44" i="42" s="1"/>
  <c r="R40" i="42"/>
  <c r="W40" i="42" s="1"/>
  <c r="R36" i="42"/>
  <c r="W36" i="42" s="1"/>
  <c r="R32" i="42"/>
  <c r="W32" i="42" s="1"/>
  <c r="R28" i="42"/>
  <c r="W28" i="42" s="1"/>
  <c r="R24" i="42"/>
  <c r="W24" i="42" s="1"/>
  <c r="R259" i="42"/>
  <c r="W259" i="42" s="1"/>
  <c r="R255" i="42"/>
  <c r="W255" i="42" s="1"/>
  <c r="R251" i="42"/>
  <c r="W251" i="42" s="1"/>
  <c r="R247" i="42"/>
  <c r="W247" i="42" s="1"/>
  <c r="R243" i="42"/>
  <c r="W243" i="42" s="1"/>
  <c r="R239" i="42"/>
  <c r="W239" i="42" s="1"/>
  <c r="R235" i="42"/>
  <c r="W235" i="42" s="1"/>
  <c r="R231" i="42"/>
  <c r="W231" i="42" s="1"/>
  <c r="R227" i="42"/>
  <c r="W227" i="42" s="1"/>
  <c r="R223" i="42"/>
  <c r="W223" i="42" s="1"/>
  <c r="R219" i="42"/>
  <c r="W219" i="42" s="1"/>
  <c r="R215" i="42"/>
  <c r="W215" i="42" s="1"/>
  <c r="R211" i="42"/>
  <c r="W211" i="42" s="1"/>
  <c r="R207" i="42"/>
  <c r="W207" i="42" s="1"/>
  <c r="R203" i="42"/>
  <c r="W203" i="42" s="1"/>
  <c r="R199" i="42"/>
  <c r="W199" i="42" s="1"/>
  <c r="R195" i="42"/>
  <c r="W195" i="42" s="1"/>
  <c r="R191" i="42"/>
  <c r="W191" i="42" s="1"/>
  <c r="R187" i="42"/>
  <c r="W187" i="42" s="1"/>
  <c r="R183" i="42"/>
  <c r="W183" i="42" s="1"/>
  <c r="R179" i="42"/>
  <c r="W179" i="42" s="1"/>
  <c r="R175" i="42"/>
  <c r="W175" i="42" s="1"/>
  <c r="R171" i="42"/>
  <c r="W171" i="42" s="1"/>
  <c r="R167" i="42"/>
  <c r="W167" i="42" s="1"/>
  <c r="R163" i="42"/>
  <c r="W163" i="42" s="1"/>
  <c r="R159" i="42"/>
  <c r="W159" i="42" s="1"/>
  <c r="R155" i="42"/>
  <c r="W155" i="42" s="1"/>
  <c r="R151" i="42"/>
  <c r="W151" i="42" s="1"/>
  <c r="R147" i="42"/>
  <c r="W147" i="42" s="1"/>
  <c r="R143" i="42"/>
  <c r="W143" i="42" s="1"/>
  <c r="R139" i="42"/>
  <c r="W139" i="42" s="1"/>
  <c r="R135" i="42"/>
  <c r="W135" i="42" s="1"/>
  <c r="R131" i="42"/>
  <c r="W131" i="42" s="1"/>
  <c r="R127" i="42"/>
  <c r="W127" i="42" s="1"/>
  <c r="R123" i="42"/>
  <c r="W123" i="42" s="1"/>
  <c r="R119" i="42"/>
  <c r="W119" i="42" s="1"/>
  <c r="R115" i="42"/>
  <c r="W115" i="42" s="1"/>
  <c r="R111" i="42"/>
  <c r="W111" i="42" s="1"/>
  <c r="R107" i="42"/>
  <c r="W107" i="42" s="1"/>
  <c r="R103" i="42"/>
  <c r="W103" i="42" s="1"/>
  <c r="R99" i="42"/>
  <c r="W99" i="42" s="1"/>
  <c r="R95" i="42"/>
  <c r="W95" i="42" s="1"/>
  <c r="R91" i="42"/>
  <c r="W91" i="42" s="1"/>
  <c r="R87" i="42"/>
  <c r="W87" i="42" s="1"/>
  <c r="R83" i="42"/>
  <c r="W83" i="42" s="1"/>
  <c r="R79" i="42"/>
  <c r="W79" i="42" s="1"/>
  <c r="R75" i="42"/>
  <c r="W75" i="42" s="1"/>
  <c r="R71" i="42"/>
  <c r="W71" i="42" s="1"/>
  <c r="R67" i="42"/>
  <c r="W67" i="42" s="1"/>
  <c r="R63" i="42"/>
  <c r="W63" i="42" s="1"/>
  <c r="R59" i="42"/>
  <c r="W59" i="42" s="1"/>
  <c r="R55" i="42"/>
  <c r="W55" i="42" s="1"/>
  <c r="R51" i="42"/>
  <c r="W51" i="42" s="1"/>
  <c r="R47" i="42"/>
  <c r="W47" i="42" s="1"/>
  <c r="R43" i="42"/>
  <c r="W43" i="42" s="1"/>
  <c r="R39" i="42"/>
  <c r="W39" i="42" s="1"/>
  <c r="R35" i="42"/>
  <c r="W35" i="42" s="1"/>
  <c r="R31" i="42"/>
  <c r="W31" i="42" s="1"/>
  <c r="R27" i="42"/>
  <c r="W27" i="42" s="1"/>
  <c r="R23" i="42"/>
  <c r="W23" i="42" s="1"/>
  <c r="R258" i="42"/>
  <c r="W258" i="42" s="1"/>
  <c r="R254" i="42"/>
  <c r="W254" i="42" s="1"/>
  <c r="R250" i="42"/>
  <c r="W250" i="42" s="1"/>
  <c r="R246" i="42"/>
  <c r="W246" i="42" s="1"/>
  <c r="R242" i="42"/>
  <c r="W242" i="42" s="1"/>
  <c r="R238" i="42"/>
  <c r="W238" i="42" s="1"/>
  <c r="R234" i="42"/>
  <c r="W234" i="42" s="1"/>
  <c r="R230" i="42"/>
  <c r="W230" i="42" s="1"/>
  <c r="R226" i="42"/>
  <c r="W226" i="42" s="1"/>
  <c r="R222" i="42"/>
  <c r="W222" i="42" s="1"/>
  <c r="R218" i="42"/>
  <c r="W218" i="42" s="1"/>
  <c r="R214" i="42"/>
  <c r="W214" i="42" s="1"/>
  <c r="R210" i="42"/>
  <c r="W210" i="42" s="1"/>
  <c r="R206" i="42"/>
  <c r="W206" i="42" s="1"/>
  <c r="R202" i="42"/>
  <c r="W202" i="42" s="1"/>
  <c r="R198" i="42"/>
  <c r="W198" i="42" s="1"/>
  <c r="R194" i="42"/>
  <c r="W194" i="42" s="1"/>
  <c r="R190" i="42"/>
  <c r="W190" i="42" s="1"/>
  <c r="R186" i="42"/>
  <c r="W186" i="42" s="1"/>
  <c r="R182" i="42"/>
  <c r="W182" i="42" s="1"/>
  <c r="R178" i="42"/>
  <c r="W178" i="42" s="1"/>
  <c r="R174" i="42"/>
  <c r="W174" i="42" s="1"/>
  <c r="R170" i="42"/>
  <c r="W170" i="42" s="1"/>
  <c r="R166" i="42"/>
  <c r="W166" i="42" s="1"/>
  <c r="R162" i="42"/>
  <c r="W162" i="42" s="1"/>
  <c r="R158" i="42"/>
  <c r="W158" i="42" s="1"/>
  <c r="R154" i="42"/>
  <c r="W154" i="42" s="1"/>
  <c r="R150" i="42"/>
  <c r="W150" i="42" s="1"/>
  <c r="R146" i="42"/>
  <c r="W146" i="42" s="1"/>
  <c r="R142" i="42"/>
  <c r="W142" i="42" s="1"/>
  <c r="R138" i="42"/>
  <c r="W138" i="42" s="1"/>
  <c r="R134" i="42"/>
  <c r="W134" i="42" s="1"/>
  <c r="R130" i="42"/>
  <c r="W130" i="42" s="1"/>
  <c r="R126" i="42"/>
  <c r="W126" i="42" s="1"/>
  <c r="R122" i="42"/>
  <c r="W122" i="42" s="1"/>
  <c r="R118" i="42"/>
  <c r="W118" i="42" s="1"/>
  <c r="R114" i="42"/>
  <c r="W114" i="42" s="1"/>
  <c r="R110" i="42"/>
  <c r="W110" i="42" s="1"/>
  <c r="R106" i="42"/>
  <c r="W106" i="42" s="1"/>
  <c r="R102" i="42"/>
  <c r="W102" i="42" s="1"/>
  <c r="R98" i="42"/>
  <c r="W98" i="42" s="1"/>
  <c r="R94" i="42"/>
  <c r="W94" i="42" s="1"/>
  <c r="R90" i="42"/>
  <c r="W90" i="42" s="1"/>
  <c r="R86" i="42"/>
  <c r="W86" i="42" s="1"/>
  <c r="R82" i="42"/>
  <c r="W82" i="42" s="1"/>
  <c r="R78" i="42"/>
  <c r="W78" i="42" s="1"/>
  <c r="R74" i="42"/>
  <c r="W74" i="42" s="1"/>
  <c r="R70" i="42"/>
  <c r="W70" i="42" s="1"/>
  <c r="R66" i="42"/>
  <c r="W66" i="42" s="1"/>
  <c r="R62" i="42"/>
  <c r="W62" i="42" s="1"/>
  <c r="R58" i="42"/>
  <c r="W58" i="42" s="1"/>
  <c r="R54" i="42"/>
  <c r="W54" i="42" s="1"/>
  <c r="R50" i="42"/>
  <c r="W50" i="42" s="1"/>
  <c r="R46" i="42"/>
  <c r="W46" i="42" s="1"/>
  <c r="R42" i="42"/>
  <c r="W42" i="42" s="1"/>
  <c r="R38" i="42"/>
  <c r="W38" i="42" s="1"/>
  <c r="R34" i="42"/>
  <c r="W34" i="42" s="1"/>
  <c r="R30" i="42"/>
  <c r="W30" i="42" s="1"/>
  <c r="R26" i="42"/>
  <c r="W26" i="42" s="1"/>
  <c r="R22" i="42"/>
  <c r="W22" i="42" s="1"/>
  <c r="F24" i="36"/>
  <c r="U256" i="42"/>
  <c r="U240" i="42"/>
  <c r="U224" i="42"/>
  <c r="U208" i="42"/>
  <c r="U200" i="42"/>
  <c r="U192" i="42"/>
  <c r="U160" i="42"/>
  <c r="U144" i="42"/>
  <c r="U128" i="42"/>
  <c r="U64" i="42"/>
  <c r="U48" i="42"/>
  <c r="T32" i="42"/>
  <c r="U32" i="42" s="1"/>
  <c r="T24" i="42"/>
  <c r="U239" i="42"/>
  <c r="U207" i="42"/>
  <c r="U175" i="42"/>
  <c r="U143" i="42"/>
  <c r="U111" i="42"/>
  <c r="U79" i="42"/>
  <c r="U47" i="42"/>
  <c r="T31" i="42"/>
  <c r="T23" i="42"/>
  <c r="U221" i="42"/>
  <c r="U246" i="42"/>
  <c r="U214" i="42"/>
  <c r="U206" i="42"/>
  <c r="U190" i="42"/>
  <c r="U182" i="42"/>
  <c r="U166" i="42"/>
  <c r="U150" i="42"/>
  <c r="U142" i="42"/>
  <c r="U118" i="42"/>
  <c r="U86" i="42"/>
  <c r="U78" i="42"/>
  <c r="U46" i="42"/>
  <c r="T22" i="42"/>
  <c r="U245" i="42"/>
  <c r="Q13" i="42"/>
  <c r="R13" i="42" s="1"/>
  <c r="W13" i="42" s="1"/>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s="1"/>
  <c r="W19" i="42" s="1"/>
  <c r="U189" i="42"/>
  <c r="T29" i="42"/>
  <c r="U250" i="42"/>
  <c r="U162" i="42"/>
  <c r="U146" i="42"/>
  <c r="U138" i="42"/>
  <c r="U114" i="42"/>
  <c r="U90" i="42"/>
  <c r="U82" i="42"/>
  <c r="U74" i="42"/>
  <c r="U66" i="42"/>
  <c r="U50" i="42"/>
  <c r="U149" i="42"/>
  <c r="U258" i="42"/>
  <c r="U242" i="42"/>
  <c r="U249" i="42"/>
  <c r="U233" i="42"/>
  <c r="U217" i="42"/>
  <c r="U209" i="42"/>
  <c r="U201" i="42"/>
  <c r="U169" i="42"/>
  <c r="U137" i="42"/>
  <c r="U113" i="42"/>
  <c r="U105" i="42"/>
  <c r="U89" i="42"/>
  <c r="U73" i="42"/>
  <c r="U57" i="42"/>
  <c r="V12" i="42"/>
  <c r="N238" i="52"/>
  <c r="U238" i="52" s="1"/>
  <c r="N154" i="52"/>
  <c r="U154" i="52" s="1"/>
  <c r="N174" i="52"/>
  <c r="U174" i="52" s="1"/>
  <c r="N90" i="52"/>
  <c r="U90" i="52" s="1"/>
  <c r="K101" i="36"/>
  <c r="N110" i="52"/>
  <c r="U110" i="52" s="1"/>
  <c r="N26" i="52"/>
  <c r="U26" i="52" s="1"/>
  <c r="N218" i="52"/>
  <c r="U218" i="52" s="1"/>
  <c r="N46" i="52"/>
  <c r="U46" i="52" s="1"/>
  <c r="N100" i="52"/>
  <c r="U100" i="52" s="1"/>
  <c r="N214" i="52"/>
  <c r="U214" i="52" s="1"/>
  <c r="N204" i="52"/>
  <c r="U204" i="52" s="1"/>
  <c r="N194" i="52"/>
  <c r="U194" i="52" s="1"/>
  <c r="N150" i="52"/>
  <c r="U150" i="52" s="1"/>
  <c r="N140" i="52"/>
  <c r="U140" i="52" s="1"/>
  <c r="N130" i="52"/>
  <c r="U130" i="52" s="1"/>
  <c r="N228" i="52"/>
  <c r="U228" i="52" s="1"/>
  <c r="N164" i="52"/>
  <c r="U164" i="52" s="1"/>
  <c r="N36" i="52"/>
  <c r="U36" i="52" s="1"/>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U48" i="52" s="1"/>
  <c r="N236" i="52"/>
  <c r="U236" i="52" s="1"/>
  <c r="N226" i="52"/>
  <c r="U226" i="52" s="1"/>
  <c r="N10" i="52"/>
  <c r="I150" i="22"/>
  <c r="K109" i="36"/>
  <c r="K107" i="36"/>
  <c r="K105" i="36"/>
  <c r="K103" i="36"/>
  <c r="N16" i="52"/>
  <c r="U16" i="52" s="1"/>
  <c r="F21" i="36"/>
  <c r="N216" i="52"/>
  <c r="U216" i="52" s="1"/>
  <c r="N184" i="52"/>
  <c r="U184" i="52" s="1"/>
  <c r="N152" i="52"/>
  <c r="U152" i="52" s="1"/>
  <c r="N120" i="52"/>
  <c r="U120" i="52" s="1"/>
  <c r="N88" i="52"/>
  <c r="U88" i="52" s="1"/>
  <c r="N66" i="52"/>
  <c r="U66" i="52" s="1"/>
  <c r="N56" i="52"/>
  <c r="U56" i="52" s="1"/>
  <c r="N24" i="52"/>
  <c r="U24" i="52" s="1"/>
  <c r="N224" i="52"/>
  <c r="U224" i="52" s="1"/>
  <c r="N192" i="52"/>
  <c r="U192" i="52" s="1"/>
  <c r="N160" i="52"/>
  <c r="U160" i="52" s="1"/>
  <c r="N128" i="52"/>
  <c r="U128" i="52" s="1"/>
  <c r="N96" i="52"/>
  <c r="U96" i="52" s="1"/>
  <c r="N64" i="52"/>
  <c r="U64" i="52" s="1"/>
  <c r="N42" i="52"/>
  <c r="U42" i="52" s="1"/>
  <c r="N32" i="52"/>
  <c r="U32" i="52" s="1"/>
  <c r="N248" i="52"/>
  <c r="U248" i="52" s="1"/>
  <c r="N256" i="52"/>
  <c r="U256" i="52" s="1"/>
  <c r="N232" i="52"/>
  <c r="U232" i="52" s="1"/>
  <c r="N200" i="52"/>
  <c r="U200" i="52" s="1"/>
  <c r="N168" i="52"/>
  <c r="U168" i="52" s="1"/>
  <c r="N136" i="52"/>
  <c r="U136" i="52" s="1"/>
  <c r="N104" i="52"/>
  <c r="U104" i="52" s="1"/>
  <c r="N72" i="52"/>
  <c r="U72" i="52" s="1"/>
  <c r="N40" i="52"/>
  <c r="U40" i="52" s="1"/>
  <c r="N86" i="52"/>
  <c r="U86" i="52" s="1"/>
  <c r="N76" i="52"/>
  <c r="U76" i="52" s="1"/>
  <c r="N22" i="52"/>
  <c r="U22" i="52" s="1"/>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U44" i="52" s="1"/>
  <c r="N34" i="52"/>
  <c r="U34" i="52" s="1"/>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U50" i="52" s="1"/>
  <c r="N230" i="52"/>
  <c r="U230" i="52" s="1"/>
  <c r="N220" i="52"/>
  <c r="U220" i="52" s="1"/>
  <c r="N210" i="52"/>
  <c r="U210" i="52" s="1"/>
  <c r="N166" i="52"/>
  <c r="U166" i="52" s="1"/>
  <c r="N156" i="52"/>
  <c r="U156" i="52" s="1"/>
  <c r="N146" i="52"/>
  <c r="U146" i="52" s="1"/>
  <c r="N102" i="52"/>
  <c r="U102" i="52" s="1"/>
  <c r="N92" i="52"/>
  <c r="U92" i="52" s="1"/>
  <c r="N82" i="52"/>
  <c r="U82" i="52" s="1"/>
  <c r="N38" i="52"/>
  <c r="U38" i="52" s="1"/>
  <c r="N28" i="52"/>
  <c r="U28" i="52" s="1"/>
  <c r="N18" i="52"/>
  <c r="U18" i="52" s="1"/>
  <c r="N222" i="52"/>
  <c r="U222" i="52" s="1"/>
  <c r="N212" i="52"/>
  <c r="U212" i="52" s="1"/>
  <c r="N202" i="52"/>
  <c r="U202" i="52" s="1"/>
  <c r="N158" i="52"/>
  <c r="U158" i="52" s="1"/>
  <c r="N148" i="52"/>
  <c r="U148" i="52" s="1"/>
  <c r="N138" i="52"/>
  <c r="U138" i="52" s="1"/>
  <c r="N94" i="52"/>
  <c r="U94" i="52" s="1"/>
  <c r="N84" i="52"/>
  <c r="U84" i="52" s="1"/>
  <c r="N74" i="52"/>
  <c r="U74" i="52" s="1"/>
  <c r="N30" i="52"/>
  <c r="U30" i="52" s="1"/>
  <c r="N20" i="52"/>
  <c r="U20" i="52" s="1"/>
  <c r="F27" i="36"/>
  <c r="N12" i="52"/>
  <c r="U12" i="52" s="1"/>
  <c r="N11" i="52"/>
  <c r="N14" i="52"/>
  <c r="U14" i="52" s="1"/>
  <c r="U227" i="55"/>
  <c r="X12" i="58"/>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U51" i="52" s="1"/>
  <c r="N47" i="52"/>
  <c r="U47" i="52" s="1"/>
  <c r="N43" i="52"/>
  <c r="U43" i="52" s="1"/>
  <c r="N39" i="52"/>
  <c r="U39" i="52" s="1"/>
  <c r="N35" i="52"/>
  <c r="U35" i="52" s="1"/>
  <c r="N31" i="52"/>
  <c r="U31" i="52" s="1"/>
  <c r="N27" i="52"/>
  <c r="U27" i="52" s="1"/>
  <c r="N23" i="52"/>
  <c r="U23" i="52" s="1"/>
  <c r="N19" i="52"/>
  <c r="U19" i="52" s="1"/>
  <c r="N15" i="52"/>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U49" i="52" s="1"/>
  <c r="N45" i="52"/>
  <c r="U45" i="52" s="1"/>
  <c r="N41" i="52"/>
  <c r="U41" i="52" s="1"/>
  <c r="N37" i="52"/>
  <c r="U37" i="52" s="1"/>
  <c r="N33" i="52"/>
  <c r="U33" i="52" s="1"/>
  <c r="N29" i="52"/>
  <c r="U29" i="52" s="1"/>
  <c r="N25" i="52"/>
  <c r="U25" i="52" s="1"/>
  <c r="N21" i="52"/>
  <c r="U21" i="52" s="1"/>
  <c r="N17" i="52"/>
  <c r="U17" i="52" s="1"/>
  <c r="N13" i="52"/>
  <c r="U14" i="55"/>
  <c r="U13" i="55"/>
  <c r="V12" i="55"/>
  <c r="R11" i="52"/>
  <c r="AN10" i="55" a="1"/>
  <c r="AN10" i="55" s="1"/>
  <c r="B12" i="57" s="1"/>
  <c r="P12" i="57" s="1"/>
  <c r="AK10" i="52" a="1"/>
  <c r="AK10" i="52" s="1"/>
  <c r="AM10" i="55" a="1"/>
  <c r="AM10" i="55" s="1"/>
  <c r="AM11" i="55" s="1" a="1"/>
  <c r="AM11" i="55" s="1"/>
  <c r="W258" i="55"/>
  <c r="AJ10" i="52" a="1"/>
  <c r="AJ10" i="52" s="1"/>
  <c r="AJ11" i="52" s="1" a="1"/>
  <c r="AJ11" i="52" s="1"/>
  <c r="T258" i="52"/>
  <c r="U22" i="42" l="1"/>
  <c r="U23" i="42"/>
  <c r="U29" i="42"/>
  <c r="U31" i="42"/>
  <c r="U24" i="42"/>
  <c r="B12" i="53"/>
  <c r="F12" i="53" s="1"/>
  <c r="Q21" i="42"/>
  <c r="R21" i="42" s="1"/>
  <c r="Q20" i="42"/>
  <c r="R20" i="42" s="1"/>
  <c r="W20" i="42" s="1"/>
  <c r="Q18" i="42"/>
  <c r="R18" i="42" s="1"/>
  <c r="W18" i="42" s="1"/>
  <c r="Q17" i="42"/>
  <c r="R17" i="42" s="1"/>
  <c r="W17" i="42" s="1"/>
  <c r="Q16" i="42"/>
  <c r="R16" i="42" s="1"/>
  <c r="W16" i="42" s="1"/>
  <c r="Q15" i="42"/>
  <c r="R15" i="42" s="1"/>
  <c r="W15" i="42" s="1"/>
  <c r="Q14" i="42"/>
  <c r="R14" i="42" s="1"/>
  <c r="W14" i="42" s="1"/>
  <c r="Y12" i="58"/>
  <c r="X154" i="22"/>
  <c r="Q258" i="55"/>
  <c r="H21" i="73" s="1"/>
  <c r="F161" i="22"/>
  <c r="D111" i="36" s="1"/>
  <c r="F159" i="22"/>
  <c r="D109" i="36" s="1"/>
  <c r="T27" i="42"/>
  <c r="U27" i="42" s="1"/>
  <c r="T36" i="42"/>
  <c r="U36" i="42" s="1"/>
  <c r="T25" i="42"/>
  <c r="U25" i="42" s="1"/>
  <c r="T35" i="42"/>
  <c r="U35" i="42" s="1"/>
  <c r="T26" i="42"/>
  <c r="U26" i="42" s="1"/>
  <c r="T34" i="42"/>
  <c r="U34" i="42" s="1"/>
  <c r="T28" i="42"/>
  <c r="U28" i="42" s="1"/>
  <c r="T30" i="42"/>
  <c r="U30" i="42" s="1"/>
  <c r="T33" i="42"/>
  <c r="U33" i="42" s="1"/>
  <c r="T37" i="42"/>
  <c r="U37" i="42" s="1"/>
  <c r="T19" i="42"/>
  <c r="U19" i="42" s="1"/>
  <c r="T13" i="42"/>
  <c r="U13" i="42" s="1"/>
  <c r="F157" i="22"/>
  <c r="D107" i="36" s="1"/>
  <c r="F158" i="22"/>
  <c r="D108" i="36" s="1"/>
  <c r="C12" i="57"/>
  <c r="M12" i="57" s="1"/>
  <c r="F150" i="22"/>
  <c r="D100" i="36" s="1"/>
  <c r="R10" i="52"/>
  <c r="D120" i="36"/>
  <c r="D121" i="36"/>
  <c r="S10" i="52"/>
  <c r="F152" i="22"/>
  <c r="D102" i="36" s="1"/>
  <c r="F153" i="22"/>
  <c r="D103" i="36" s="1"/>
  <c r="F154" i="22"/>
  <c r="D104" i="36" s="1"/>
  <c r="F151" i="22"/>
  <c r="D101" i="36" s="1"/>
  <c r="F160" i="22"/>
  <c r="D110" i="36" s="1"/>
  <c r="V227" i="55"/>
  <c r="L105" i="36"/>
  <c r="L107" i="36"/>
  <c r="L101" i="36"/>
  <c r="F156" i="22"/>
  <c r="D106" i="36" s="1"/>
  <c r="L103" i="36"/>
  <c r="L109" i="36"/>
  <c r="F162" i="22"/>
  <c r="D112" i="36" s="1"/>
  <c r="F155" i="22"/>
  <c r="D105" i="36" s="1"/>
  <c r="F30" i="36"/>
  <c r="L12" i="57"/>
  <c r="V133" i="55"/>
  <c r="U96" i="55"/>
  <c r="V213" i="55"/>
  <c r="V245" i="55"/>
  <c r="U149" i="55"/>
  <c r="U157" i="55"/>
  <c r="U72" i="55"/>
  <c r="U173" i="55"/>
  <c r="U37" i="55"/>
  <c r="V69" i="55"/>
  <c r="U221" i="55"/>
  <c r="U120" i="55"/>
  <c r="V101" i="55"/>
  <c r="V237" i="55"/>
  <c r="S25" i="52"/>
  <c r="R25" i="52"/>
  <c r="S57" i="52"/>
  <c r="R57" i="52"/>
  <c r="S89" i="52"/>
  <c r="R89" i="52"/>
  <c r="S121" i="52"/>
  <c r="R121" i="52"/>
  <c r="S153" i="52"/>
  <c r="R153" i="52"/>
  <c r="S185" i="52"/>
  <c r="R185" i="52"/>
  <c r="S217" i="52"/>
  <c r="R217" i="52"/>
  <c r="S249" i="52"/>
  <c r="R249" i="52"/>
  <c r="S35" i="52"/>
  <c r="R35" i="52"/>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s="1"/>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S61" i="52"/>
  <c r="R61" i="52"/>
  <c r="S93" i="52"/>
  <c r="R93" i="52"/>
  <c r="S125" i="52"/>
  <c r="R125" i="52"/>
  <c r="S157" i="52"/>
  <c r="R157" i="52"/>
  <c r="S189" i="52"/>
  <c r="R189" i="52"/>
  <c r="S221" i="52"/>
  <c r="R221" i="52"/>
  <c r="S253" i="52"/>
  <c r="R253" i="52"/>
  <c r="S39" i="52"/>
  <c r="R39" i="52"/>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S65" i="52"/>
  <c r="R65" i="52"/>
  <c r="S97" i="52"/>
  <c r="R97" i="52"/>
  <c r="S129" i="52"/>
  <c r="R129" i="52"/>
  <c r="S161" i="52"/>
  <c r="R161" i="52"/>
  <c r="S193" i="52"/>
  <c r="R193" i="52"/>
  <c r="S225" i="52"/>
  <c r="R225" i="52"/>
  <c r="S257" i="52"/>
  <c r="R257" i="52"/>
  <c r="S43" i="52"/>
  <c r="R43" i="52"/>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s="1"/>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s="1"/>
  <c r="U118" i="55"/>
  <c r="V118" i="55"/>
  <c r="S41" i="52"/>
  <c r="R41" i="52"/>
  <c r="S73" i="52"/>
  <c r="R73" i="52"/>
  <c r="S105" i="52"/>
  <c r="R105" i="52"/>
  <c r="S137" i="52"/>
  <c r="R137" i="52"/>
  <c r="S169" i="52"/>
  <c r="R169" i="52"/>
  <c r="S201" i="52"/>
  <c r="R201" i="52"/>
  <c r="S233" i="52"/>
  <c r="R233" i="52"/>
  <c r="R19" i="52"/>
  <c r="S19" i="52"/>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R13" i="52"/>
  <c r="U13" i="52" s="1"/>
  <c r="S13" i="52"/>
  <c r="S45" i="52"/>
  <c r="R45" i="52"/>
  <c r="S77" i="52"/>
  <c r="R77" i="52"/>
  <c r="S109" i="52"/>
  <c r="R109" i="52"/>
  <c r="S141" i="52"/>
  <c r="R141" i="52"/>
  <c r="S173" i="52"/>
  <c r="R173" i="52"/>
  <c r="S205" i="52"/>
  <c r="R205" i="52"/>
  <c r="S237" i="52"/>
  <c r="R237" i="52"/>
  <c r="S23" i="52"/>
  <c r="R23" i="52"/>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11" i="52" s="1"/>
  <c r="J159" i="22" s="1"/>
  <c r="U36" i="55"/>
  <c r="V68" i="55"/>
  <c r="V100" i="55"/>
  <c r="V220" i="55"/>
  <c r="U31" i="55"/>
  <c r="V63" i="55"/>
  <c r="V130" i="55"/>
  <c r="V162" i="55"/>
  <c r="V194" i="55"/>
  <c r="U239" i="55"/>
  <c r="S101" i="52"/>
  <c r="R101" i="52"/>
  <c r="S15" i="52"/>
  <c r="R15" i="52"/>
  <c r="H155" i="22" s="1"/>
  <c r="R17" i="52"/>
  <c r="S17" i="52"/>
  <c r="S49" i="52"/>
  <c r="R49" i="52"/>
  <c r="S81" i="52"/>
  <c r="R81" i="52"/>
  <c r="S113" i="52"/>
  <c r="R113" i="52"/>
  <c r="S145" i="52"/>
  <c r="R145" i="52"/>
  <c r="S177" i="52"/>
  <c r="R177" i="52"/>
  <c r="S209" i="52"/>
  <c r="R209" i="52"/>
  <c r="S241" i="52"/>
  <c r="R241" i="52"/>
  <c r="S27" i="52"/>
  <c r="R27" i="52"/>
  <c r="H154" i="22" s="1"/>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R21" i="52"/>
  <c r="S21" i="52"/>
  <c r="S53" i="52"/>
  <c r="R53" i="52"/>
  <c r="S85" i="52"/>
  <c r="R85" i="52"/>
  <c r="S117" i="52"/>
  <c r="R117" i="52"/>
  <c r="S149" i="52"/>
  <c r="R149" i="52"/>
  <c r="S181" i="52"/>
  <c r="R181" i="52"/>
  <c r="S213" i="52"/>
  <c r="R213" i="52"/>
  <c r="S245" i="52"/>
  <c r="R245" i="52"/>
  <c r="S31" i="52"/>
  <c r="R31" i="52"/>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s="1"/>
  <c r="U7" i="107" s="1"/>
  <c r="V10" i="55"/>
  <c r="X10" i="55" s="1"/>
  <c r="AN11" i="55" a="1"/>
  <c r="AN11" i="55" s="1"/>
  <c r="B13" i="57" s="1"/>
  <c r="P13" i="57" s="1"/>
  <c r="H12" i="57"/>
  <c r="G12" i="57"/>
  <c r="F12" i="57"/>
  <c r="E12" i="57"/>
  <c r="D12" i="57"/>
  <c r="AK11" i="52" a="1"/>
  <c r="AK11" i="52" s="1"/>
  <c r="B13" i="53" s="1"/>
  <c r="M13" i="53" s="1"/>
  <c r="AM12" i="55" a="1"/>
  <c r="AM12" i="55" s="1"/>
  <c r="AM13" i="55" s="1" a="1"/>
  <c r="AM13" i="55" s="1"/>
  <c r="AJ12" i="52" a="1"/>
  <c r="AJ12" i="52" s="1"/>
  <c r="U15" i="52" l="1"/>
  <c r="J162" i="22" s="1"/>
  <c r="J153" i="22"/>
  <c r="J156" i="22"/>
  <c r="C12" i="53"/>
  <c r="J12" i="53"/>
  <c r="M12" i="53"/>
  <c r="R12" i="53" s="1"/>
  <c r="AY258" i="55" a="1"/>
  <c r="AY258" i="55" s="1"/>
  <c r="U258" i="55" a="1"/>
  <c r="U258" i="55" s="1"/>
  <c r="G12" i="53"/>
  <c r="E12" i="53"/>
  <c r="H12" i="53"/>
  <c r="P12" i="53"/>
  <c r="I12" i="53"/>
  <c r="K12" i="53"/>
  <c r="D12" i="53"/>
  <c r="O13" i="53"/>
  <c r="L12" i="53"/>
  <c r="V154" i="22"/>
  <c r="V159" i="22"/>
  <c r="Z260" i="58"/>
  <c r="X151" i="22"/>
  <c r="H161" i="22"/>
  <c r="L159" i="22"/>
  <c r="W21" i="42"/>
  <c r="I13" i="53"/>
  <c r="T21" i="42"/>
  <c r="U21" i="42" s="1"/>
  <c r="T20" i="42"/>
  <c r="U20" i="42" s="1"/>
  <c r="T18" i="42"/>
  <c r="U18" i="42" s="1"/>
  <c r="T17" i="42"/>
  <c r="U17" i="42" s="1"/>
  <c r="T16" i="42"/>
  <c r="U16" i="42" s="1"/>
  <c r="T15" i="42"/>
  <c r="U15" i="42" s="1"/>
  <c r="T14" i="42"/>
  <c r="U14" i="42" s="1"/>
  <c r="H153" i="22"/>
  <c r="V258" i="55" a="1"/>
  <c r="V258" i="55" s="1"/>
  <c r="R258" i="52" a="1"/>
  <c r="R258" i="52" s="1"/>
  <c r="S258" i="52" a="1"/>
  <c r="S258" i="52" s="1"/>
  <c r="H152" i="22"/>
  <c r="V156" i="22"/>
  <c r="D131" i="36"/>
  <c r="D151" i="36" s="1"/>
  <c r="V150" i="22"/>
  <c r="V160" i="22"/>
  <c r="V157" i="22"/>
  <c r="V158" i="22"/>
  <c r="V152" i="22"/>
  <c r="D127" i="36"/>
  <c r="D147" i="36" s="1"/>
  <c r="D123" i="36"/>
  <c r="D143" i="36" s="1"/>
  <c r="D125" i="36"/>
  <c r="D145" i="36" s="1"/>
  <c r="D124" i="36"/>
  <c r="D144" i="36" s="1"/>
  <c r="D126" i="36"/>
  <c r="D146" i="36" s="1"/>
  <c r="D129" i="36"/>
  <c r="D149" i="36" s="1"/>
  <c r="D128" i="36"/>
  <c r="D148" i="36" s="1"/>
  <c r="D122" i="36"/>
  <c r="D142" i="36" s="1"/>
  <c r="L155" i="22"/>
  <c r="L153" i="22"/>
  <c r="L156" i="22"/>
  <c r="T12" i="42"/>
  <c r="U12" i="42" s="1"/>
  <c r="M3" i="42"/>
  <c r="H158" i="22"/>
  <c r="H159" i="22"/>
  <c r="H150" i="22"/>
  <c r="H157" i="22"/>
  <c r="D130" i="36"/>
  <c r="D150" i="36" s="1"/>
  <c r="D132" i="36"/>
  <c r="D152" i="36" s="1"/>
  <c r="N12" i="57"/>
  <c r="N12" i="53"/>
  <c r="O12" i="53" s="1"/>
  <c r="U10" i="52"/>
  <c r="J160" i="22" s="1"/>
  <c r="H151" i="22"/>
  <c r="L13" i="57"/>
  <c r="Q12" i="57"/>
  <c r="T12" i="57" s="1"/>
  <c r="W12" i="42"/>
  <c r="L157" i="22" s="1"/>
  <c r="R12" i="57"/>
  <c r="W12" i="58"/>
  <c r="V151" i="22"/>
  <c r="V162" i="22"/>
  <c r="H162" i="22"/>
  <c r="D140" i="36"/>
  <c r="D141" i="36"/>
  <c r="H156" i="22"/>
  <c r="H160" i="22"/>
  <c r="AQ12" i="57"/>
  <c r="L13" i="53"/>
  <c r="K13" i="53"/>
  <c r="I13" i="57"/>
  <c r="G13" i="57"/>
  <c r="K13" i="57"/>
  <c r="D13" i="57"/>
  <c r="F13" i="57"/>
  <c r="J13" i="57"/>
  <c r="C13" i="57"/>
  <c r="M13" i="57" s="1"/>
  <c r="H13" i="57"/>
  <c r="E13" i="57"/>
  <c r="Y260" i="58"/>
  <c r="AN12" i="55" a="1"/>
  <c r="AN12" i="55" s="1"/>
  <c r="B14" i="57" s="1"/>
  <c r="P14" i="57" s="1"/>
  <c r="N258" i="52"/>
  <c r="AK12" i="52" a="1"/>
  <c r="AK12" i="52" s="1"/>
  <c r="B14" i="53" s="1"/>
  <c r="AM14" i="55" a="1"/>
  <c r="AM14" i="55" s="1"/>
  <c r="AM15" i="55" s="1" a="1"/>
  <c r="AM15" i="55" s="1"/>
  <c r="AM16" i="55" s="1" a="1"/>
  <c r="AM16" i="55" s="1"/>
  <c r="N258" i="55"/>
  <c r="L21" i="73" s="1"/>
  <c r="AJ13" i="52" a="1"/>
  <c r="AJ13" i="52" s="1"/>
  <c r="Q12" i="53" l="1"/>
  <c r="X12" i="53"/>
  <c r="M14" i="53"/>
  <c r="O14" i="53"/>
  <c r="AK13" i="57"/>
  <c r="H9" i="73"/>
  <c r="E62" i="73" s="1"/>
  <c r="F62" i="73" s="1"/>
  <c r="F22" i="36"/>
  <c r="E13" i="53"/>
  <c r="C13" i="53"/>
  <c r="F13" i="53"/>
  <c r="G13" i="53"/>
  <c r="D13" i="53"/>
  <c r="H13" i="53"/>
  <c r="J13" i="53"/>
  <c r="P13" i="53"/>
  <c r="N13" i="53"/>
  <c r="E14" i="53"/>
  <c r="L154" i="22"/>
  <c r="L158" i="22"/>
  <c r="J150" i="22"/>
  <c r="L152" i="22"/>
  <c r="L161" i="22"/>
  <c r="O12" i="57"/>
  <c r="X12" i="57" s="1"/>
  <c r="L14" i="57"/>
  <c r="L160" i="22"/>
  <c r="L151" i="22"/>
  <c r="R13" i="57"/>
  <c r="L150" i="22"/>
  <c r="L162" i="22"/>
  <c r="F28" i="36"/>
  <c r="F25" i="36"/>
  <c r="AC13" i="53"/>
  <c r="AD12" i="53"/>
  <c r="X258" i="55"/>
  <c r="AT12" i="53"/>
  <c r="W260" i="42"/>
  <c r="U258" i="52"/>
  <c r="AD12" i="57"/>
  <c r="K14" i="57"/>
  <c r="I14" i="57"/>
  <c r="H14" i="57"/>
  <c r="G14" i="57"/>
  <c r="E14" i="57"/>
  <c r="D14" i="57"/>
  <c r="C14" i="57"/>
  <c r="M14" i="57" s="1"/>
  <c r="F14" i="57"/>
  <c r="J14" i="57"/>
  <c r="AN13" i="55" a="1"/>
  <c r="AN13" i="55" s="1"/>
  <c r="B15" i="57" s="1"/>
  <c r="P15" i="57" s="1"/>
  <c r="AK13" i="52" a="1"/>
  <c r="AK13" i="52" s="1"/>
  <c r="B15" i="53" s="1"/>
  <c r="AM17" i="55" a="1"/>
  <c r="AM17" i="55" s="1"/>
  <c r="AJ14" i="52" a="1"/>
  <c r="AJ14" i="52" s="1"/>
  <c r="AJ15" i="52" s="1" a="1"/>
  <c r="AJ15" i="52" s="1"/>
  <c r="M15" i="53" l="1"/>
  <c r="AC15" i="53" s="1"/>
  <c r="O15" i="53"/>
  <c r="AK14" i="57"/>
  <c r="N15" i="53"/>
  <c r="K14" i="53"/>
  <c r="P14" i="53"/>
  <c r="G14" i="53"/>
  <c r="C14" i="53"/>
  <c r="AC14" i="53" s="1"/>
  <c r="H14" i="53"/>
  <c r="N14" i="53"/>
  <c r="L14" i="53"/>
  <c r="I14" i="53"/>
  <c r="D14" i="53"/>
  <c r="J14" i="53"/>
  <c r="F14" i="53"/>
  <c r="AA12" i="57"/>
  <c r="AA12" i="53"/>
  <c r="AE12" i="53" s="1"/>
  <c r="AF12" i="53" s="1"/>
  <c r="L15" i="57"/>
  <c r="R14" i="57"/>
  <c r="R13" i="53"/>
  <c r="X13" i="53" s="1"/>
  <c r="F31" i="36"/>
  <c r="AD13" i="57"/>
  <c r="AQ14" i="57"/>
  <c r="Q13" i="57"/>
  <c r="T13" i="57" s="1"/>
  <c r="AQ13" i="57"/>
  <c r="N13" i="57"/>
  <c r="N14" i="57"/>
  <c r="AT13" i="53"/>
  <c r="AD13" i="53"/>
  <c r="Q13" i="53"/>
  <c r="AD14" i="57"/>
  <c r="Q14" i="57"/>
  <c r="T14" i="57" s="1"/>
  <c r="AK14" i="52" a="1"/>
  <c r="AK14" i="52" s="1"/>
  <c r="B16" i="53" s="1"/>
  <c r="K15" i="57"/>
  <c r="I15" i="57"/>
  <c r="F15" i="57"/>
  <c r="C15" i="57"/>
  <c r="H15" i="57"/>
  <c r="D15" i="57"/>
  <c r="G15" i="57"/>
  <c r="E15" i="57"/>
  <c r="J15" i="57"/>
  <c r="AN14" i="55" a="1"/>
  <c r="AN14" i="55" s="1"/>
  <c r="B16" i="57" s="1"/>
  <c r="P16" i="57" s="1"/>
  <c r="AM18" i="55" a="1"/>
  <c r="AM18" i="55" s="1"/>
  <c r="AJ16" i="52" a="1"/>
  <c r="AJ16" i="52" s="1"/>
  <c r="M16" i="53" l="1"/>
  <c r="O16" i="53"/>
  <c r="M15" i="57"/>
  <c r="AK15" i="57" s="1"/>
  <c r="N16" i="53"/>
  <c r="R14" i="53"/>
  <c r="X14" i="53" s="1"/>
  <c r="Q14" i="53"/>
  <c r="AD14" i="53"/>
  <c r="AT14" i="53"/>
  <c r="AA13" i="53"/>
  <c r="AB13" i="53"/>
  <c r="AB12" i="57"/>
  <c r="AC12" i="57" s="1"/>
  <c r="AE12" i="57"/>
  <c r="AF12" i="57" s="1"/>
  <c r="AB12" i="53"/>
  <c r="AC12" i="53" s="1"/>
  <c r="AE13" i="53"/>
  <c r="O13" i="57"/>
  <c r="X13" i="57" s="1"/>
  <c r="O14" i="57"/>
  <c r="L16" i="57"/>
  <c r="AG12" i="53"/>
  <c r="AK15" i="52" a="1"/>
  <c r="AK15" i="52" s="1"/>
  <c r="B17" i="53" s="1"/>
  <c r="H16" i="57"/>
  <c r="G16" i="57"/>
  <c r="E16" i="57"/>
  <c r="D16" i="57"/>
  <c r="C16" i="57"/>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N15" i="55" a="1"/>
  <c r="AN15" i="55" s="1"/>
  <c r="B17" i="57" s="1"/>
  <c r="P17" i="57" s="1"/>
  <c r="AM19" i="55" a="1"/>
  <c r="AM19" i="55" s="1"/>
  <c r="AJ17" i="52" a="1"/>
  <c r="AJ17" i="52" s="1"/>
  <c r="X14" i="57" l="1"/>
  <c r="AB14" i="57" s="1"/>
  <c r="M17" i="53"/>
  <c r="O17" i="53"/>
  <c r="R15" i="57"/>
  <c r="M16" i="57"/>
  <c r="AK16" i="57" s="1"/>
  <c r="N17" i="53"/>
  <c r="AA14" i="53"/>
  <c r="AB14" i="53"/>
  <c r="AA13" i="57"/>
  <c r="AE13" i="57" s="1"/>
  <c r="AF13" i="57" s="1"/>
  <c r="AB13" i="57"/>
  <c r="AH12" i="53"/>
  <c r="AF13" i="53"/>
  <c r="AE14" i="53"/>
  <c r="AF14" i="53" s="1"/>
  <c r="AC13" i="57"/>
  <c r="L17" i="57"/>
  <c r="AQ15" i="57"/>
  <c r="AG12" i="57"/>
  <c r="AK12" i="57" s="1"/>
  <c r="AD15" i="57"/>
  <c r="Q15" i="57"/>
  <c r="T15" i="57" s="1"/>
  <c r="N15" i="57"/>
  <c r="AG13" i="57"/>
  <c r="AC16" i="53"/>
  <c r="AG13" i="53"/>
  <c r="C17" i="53"/>
  <c r="K17" i="53"/>
  <c r="G17" i="53"/>
  <c r="E17" i="53"/>
  <c r="I17" i="53"/>
  <c r="D17" i="53"/>
  <c r="H17" i="53"/>
  <c r="L17" i="53"/>
  <c r="P17" i="53"/>
  <c r="F17" i="53"/>
  <c r="J17" i="53"/>
  <c r="AK16" i="52" a="1"/>
  <c r="AK16" i="52" s="1"/>
  <c r="B18" i="53" s="1"/>
  <c r="K17" i="57"/>
  <c r="J17" i="57"/>
  <c r="E17" i="57"/>
  <c r="C17" i="57"/>
  <c r="I17" i="57"/>
  <c r="H17" i="57"/>
  <c r="F17" i="57"/>
  <c r="D17" i="57"/>
  <c r="G17" i="57"/>
  <c r="AN16" i="55" a="1"/>
  <c r="AN16" i="55" s="1"/>
  <c r="B18" i="57" s="1"/>
  <c r="P18" i="57" s="1"/>
  <c r="AM20" i="55" a="1"/>
  <c r="AM20" i="55" s="1"/>
  <c r="AJ18" i="52" a="1"/>
  <c r="AJ18" i="52" s="1"/>
  <c r="AJ19" i="52" s="1" a="1"/>
  <c r="AJ19" i="52" s="1"/>
  <c r="AA14" i="57" l="1"/>
  <c r="AE14" i="57" s="1"/>
  <c r="AF14" i="57" s="1"/>
  <c r="AC17" i="53"/>
  <c r="AQ16" i="57"/>
  <c r="R16" i="57"/>
  <c r="M18" i="53"/>
  <c r="O18" i="53"/>
  <c r="M17" i="57"/>
  <c r="AK17" i="57" s="1"/>
  <c r="AJ12" i="57"/>
  <c r="N18" i="53"/>
  <c r="AC14" i="57"/>
  <c r="O15" i="57"/>
  <c r="N17" i="57"/>
  <c r="R16" i="53"/>
  <c r="X16" i="53" s="1"/>
  <c r="R15" i="53"/>
  <c r="X15" i="53" s="1"/>
  <c r="R17" i="53"/>
  <c r="X17" i="53" s="1"/>
  <c r="Q16" i="53"/>
  <c r="AD15" i="53"/>
  <c r="L18" i="57"/>
  <c r="AJ13" i="57"/>
  <c r="AG14" i="57"/>
  <c r="N16" i="57"/>
  <c r="AD16" i="57"/>
  <c r="Q16" i="57"/>
  <c r="T16" i="57" s="1"/>
  <c r="AT15" i="53"/>
  <c r="Q15" i="53"/>
  <c r="AT16" i="53"/>
  <c r="AD16" i="53"/>
  <c r="AT17" i="53"/>
  <c r="AG14" i="53"/>
  <c r="AD17" i="53"/>
  <c r="G18" i="57"/>
  <c r="E18" i="57"/>
  <c r="D18" i="57"/>
  <c r="C18" i="57"/>
  <c r="K18" i="57"/>
  <c r="I18" i="57"/>
  <c r="H18" i="57"/>
  <c r="F18" i="57"/>
  <c r="J18" i="57"/>
  <c r="P18" i="53"/>
  <c r="H18" i="53"/>
  <c r="K18" i="53"/>
  <c r="C18" i="53"/>
  <c r="F18" i="53"/>
  <c r="I18" i="53"/>
  <c r="E18" i="53"/>
  <c r="G18" i="53"/>
  <c r="J18" i="53"/>
  <c r="L18" i="53"/>
  <c r="D18" i="53"/>
  <c r="Q17" i="53"/>
  <c r="AK17" i="52" a="1"/>
  <c r="AK17" i="52" s="1"/>
  <c r="B19" i="53" s="1"/>
  <c r="AN17" i="55" a="1"/>
  <c r="AN17" i="55" s="1"/>
  <c r="B19" i="57" s="1"/>
  <c r="P19" i="57" s="1"/>
  <c r="AM21" i="55" a="1"/>
  <c r="AM21" i="55" s="1"/>
  <c r="AM22" i="55" s="1" a="1"/>
  <c r="AM22" i="55" s="1"/>
  <c r="AM23" i="55" s="1" a="1"/>
  <c r="AM23" i="55" s="1"/>
  <c r="AM24" i="55" s="1" a="1"/>
  <c r="AM24" i="55" s="1"/>
  <c r="AM25" i="55" s="1" a="1"/>
  <c r="AM25" i="55" s="1"/>
  <c r="AM26" i="55" s="1" a="1"/>
  <c r="AM26" i="55" s="1"/>
  <c r="AM27" i="55" s="1" a="1"/>
  <c r="AM27" i="55" s="1"/>
  <c r="AM28" i="55" s="1" a="1"/>
  <c r="AM28" i="55" s="1"/>
  <c r="AM29" i="55" s="1" a="1"/>
  <c r="AM29" i="55" s="1"/>
  <c r="AM30" i="55" s="1" a="1"/>
  <c r="AM30" i="55" s="1"/>
  <c r="AM31" i="55" s="1" a="1"/>
  <c r="AM31" i="55" s="1"/>
  <c r="AM32" i="55" s="1" a="1"/>
  <c r="AM32" i="55" s="1"/>
  <c r="AM33" i="55" s="1" a="1"/>
  <c r="AM33" i="55" s="1"/>
  <c r="AM34" i="55" s="1" a="1"/>
  <c r="AM34" i="55" s="1"/>
  <c r="AM35" i="55" s="1" a="1"/>
  <c r="AM35" i="55" s="1"/>
  <c r="AM36" i="55" s="1" a="1"/>
  <c r="AM36" i="55" s="1"/>
  <c r="AM37" i="55" s="1" a="1"/>
  <c r="AM37" i="55" s="1"/>
  <c r="AM38" i="55" s="1" a="1"/>
  <c r="AM38" i="55" s="1"/>
  <c r="AM39" i="55" s="1" a="1"/>
  <c r="AM39" i="55" s="1"/>
  <c r="AM40" i="55" s="1" a="1"/>
  <c r="AM40" i="55" s="1"/>
  <c r="AM41" i="55" s="1" a="1"/>
  <c r="AM41" i="55" s="1"/>
  <c r="AM42" i="55" s="1" a="1"/>
  <c r="AM42" i="55" s="1"/>
  <c r="AM43" i="55" s="1" a="1"/>
  <c r="AM43" i="55" s="1"/>
  <c r="AM44" i="55" s="1" a="1"/>
  <c r="AM44" i="55" s="1"/>
  <c r="AM45" i="55" s="1" a="1"/>
  <c r="AM45" i="55" s="1"/>
  <c r="AM46" i="55" s="1" a="1"/>
  <c r="AM46" i="55" s="1"/>
  <c r="AM47" i="55" s="1" a="1"/>
  <c r="AM47" i="55" s="1"/>
  <c r="AM48" i="55" s="1" a="1"/>
  <c r="AM48" i="55" s="1"/>
  <c r="AM49" i="55" s="1" a="1"/>
  <c r="AM49" i="55" s="1"/>
  <c r="AM50" i="55" s="1" a="1"/>
  <c r="AM50" i="55" s="1"/>
  <c r="AM51" i="55" s="1" a="1"/>
  <c r="AM51" i="55" s="1"/>
  <c r="AM52" i="55" s="1" a="1"/>
  <c r="AM52" i="55" s="1"/>
  <c r="AM53" i="55" s="1" a="1"/>
  <c r="AM53" i="55" s="1"/>
  <c r="AM54" i="55" s="1" a="1"/>
  <c r="AM54" i="55" s="1"/>
  <c r="AM55" i="55" s="1" a="1"/>
  <c r="AM55" i="55" s="1"/>
  <c r="AM56" i="55" s="1" a="1"/>
  <c r="AM56" i="55" s="1"/>
  <c r="AM57" i="55" s="1" a="1"/>
  <c r="AM57" i="55" s="1"/>
  <c r="AM58" i="55" s="1" a="1"/>
  <c r="AM58" i="55" s="1"/>
  <c r="AM59" i="55" s="1" a="1"/>
  <c r="AM59" i="55" s="1"/>
  <c r="AM60" i="55" s="1" a="1"/>
  <c r="AM60" i="55" s="1"/>
  <c r="AM61" i="55" s="1" a="1"/>
  <c r="AM61" i="55" s="1"/>
  <c r="AM62" i="55" s="1" a="1"/>
  <c r="AM62" i="55" s="1"/>
  <c r="AM63" i="55" s="1" a="1"/>
  <c r="AM63" i="55" s="1"/>
  <c r="AM64" i="55" s="1" a="1"/>
  <c r="AM64" i="55" s="1"/>
  <c r="AM65" i="55" s="1" a="1"/>
  <c r="AM65" i="55" s="1"/>
  <c r="AM66" i="55" s="1" a="1"/>
  <c r="AM66" i="55" s="1"/>
  <c r="AM67" i="55" s="1" a="1"/>
  <c r="AM67" i="55" s="1"/>
  <c r="AM68" i="55" s="1" a="1"/>
  <c r="AM68" i="55" s="1"/>
  <c r="AM69" i="55" s="1" a="1"/>
  <c r="AM69" i="55" s="1"/>
  <c r="AM70" i="55" s="1" a="1"/>
  <c r="AM70" i="55" s="1"/>
  <c r="AM71" i="55" s="1" a="1"/>
  <c r="AM71" i="55" s="1"/>
  <c r="AM72" i="55" s="1" a="1"/>
  <c r="AM72" i="55" s="1"/>
  <c r="AM73" i="55" s="1" a="1"/>
  <c r="AM73" i="55" s="1"/>
  <c r="AM74" i="55" s="1" a="1"/>
  <c r="AM74" i="55" s="1"/>
  <c r="AM75" i="55" s="1" a="1"/>
  <c r="AM75" i="55" s="1"/>
  <c r="AM76" i="55" s="1" a="1"/>
  <c r="AM76" i="55" s="1"/>
  <c r="AM77" i="55" s="1" a="1"/>
  <c r="AM77" i="55" s="1"/>
  <c r="AM78" i="55" s="1" a="1"/>
  <c r="AM78" i="55" s="1"/>
  <c r="AM79" i="55" s="1" a="1"/>
  <c r="AM79" i="55" s="1"/>
  <c r="AM80" i="55" s="1" a="1"/>
  <c r="AM80" i="55" s="1"/>
  <c r="AM81" i="55" s="1" a="1"/>
  <c r="AM81" i="55" s="1"/>
  <c r="AM82" i="55" s="1" a="1"/>
  <c r="AM82" i="55" s="1"/>
  <c r="AM83" i="55" s="1" a="1"/>
  <c r="AM83" i="55" s="1"/>
  <c r="AM84" i="55" s="1" a="1"/>
  <c r="AM84" i="55" s="1"/>
  <c r="AM85" i="55" s="1" a="1"/>
  <c r="AM85" i="55" s="1"/>
  <c r="AM86" i="55" s="1" a="1"/>
  <c r="AM86" i="55" s="1"/>
  <c r="AM87" i="55" s="1" a="1"/>
  <c r="AM87" i="55" s="1"/>
  <c r="AM88" i="55" s="1" a="1"/>
  <c r="AM88" i="55" s="1"/>
  <c r="AM89" i="55" s="1" a="1"/>
  <c r="AM89" i="55" s="1"/>
  <c r="AM90" i="55" s="1" a="1"/>
  <c r="AM90" i="55" s="1"/>
  <c r="AM91" i="55" s="1" a="1"/>
  <c r="AM91" i="55" s="1"/>
  <c r="AM92" i="55" s="1" a="1"/>
  <c r="AM92" i="55" s="1"/>
  <c r="AM93" i="55" s="1" a="1"/>
  <c r="AM93" i="55" s="1"/>
  <c r="AM94" i="55" s="1" a="1"/>
  <c r="AM94" i="55" s="1"/>
  <c r="AM95" i="55" s="1" a="1"/>
  <c r="AM95" i="55" s="1"/>
  <c r="AM96" i="55" s="1" a="1"/>
  <c r="AM96" i="55" s="1"/>
  <c r="AM97" i="55" s="1" a="1"/>
  <c r="AM97" i="55" s="1"/>
  <c r="AM98" i="55" s="1" a="1"/>
  <c r="AM98" i="55" s="1"/>
  <c r="AM99" i="55" s="1" a="1"/>
  <c r="AM99" i="55" s="1"/>
  <c r="AM100" i="55" s="1" a="1"/>
  <c r="AM100" i="55" s="1"/>
  <c r="AM101" i="55" s="1" a="1"/>
  <c r="AM101" i="55" s="1"/>
  <c r="AM102" i="55" s="1" a="1"/>
  <c r="AM102" i="55" s="1"/>
  <c r="AM103" i="55" s="1" a="1"/>
  <c r="AM103" i="55" s="1"/>
  <c r="AM104" i="55" s="1" a="1"/>
  <c r="AM104" i="55" s="1"/>
  <c r="AM105" i="55" s="1" a="1"/>
  <c r="AM105" i="55" s="1"/>
  <c r="AM106" i="55" s="1" a="1"/>
  <c r="AM106" i="55" s="1"/>
  <c r="AM107" i="55" s="1" a="1"/>
  <c r="AM107" i="55" s="1"/>
  <c r="AM108" i="55" s="1" a="1"/>
  <c r="AM108" i="55" s="1"/>
  <c r="AM109" i="55" s="1" a="1"/>
  <c r="AM109" i="55" s="1"/>
  <c r="AM110" i="55" s="1" a="1"/>
  <c r="AM110" i="55" s="1"/>
  <c r="AM111" i="55" s="1" a="1"/>
  <c r="AM111" i="55" s="1"/>
  <c r="AM112" i="55" s="1" a="1"/>
  <c r="AM112" i="55" s="1"/>
  <c r="AM113" i="55" s="1" a="1"/>
  <c r="AM113" i="55" s="1"/>
  <c r="AM114" i="55" s="1" a="1"/>
  <c r="AM114" i="55" s="1"/>
  <c r="AM115" i="55" s="1" a="1"/>
  <c r="AM115" i="55" s="1"/>
  <c r="AM116" i="55" s="1" a="1"/>
  <c r="AM116" i="55" s="1"/>
  <c r="AM117" i="55" s="1" a="1"/>
  <c r="AM117" i="55" s="1"/>
  <c r="AM118" i="55" s="1" a="1"/>
  <c r="AM118" i="55" s="1"/>
  <c r="AM119" i="55" s="1" a="1"/>
  <c r="AM119" i="55" s="1"/>
  <c r="AM120" i="55" s="1" a="1"/>
  <c r="AM120" i="55" s="1"/>
  <c r="AM121" i="55" s="1" a="1"/>
  <c r="AM121" i="55" s="1"/>
  <c r="AM122" i="55" s="1" a="1"/>
  <c r="AM122" i="55" s="1"/>
  <c r="AM123" i="55" s="1" a="1"/>
  <c r="AM123" i="55" s="1"/>
  <c r="AM124" i="55" s="1" a="1"/>
  <c r="AM124" i="55" s="1"/>
  <c r="AM125" i="55" s="1" a="1"/>
  <c r="AM125" i="55" s="1"/>
  <c r="AM126" i="55" s="1" a="1"/>
  <c r="AM126" i="55" s="1"/>
  <c r="AM127" i="55" s="1" a="1"/>
  <c r="AM127" i="55" s="1"/>
  <c r="AM128" i="55" s="1" a="1"/>
  <c r="AM128" i="55" s="1"/>
  <c r="AM129" i="55" s="1" a="1"/>
  <c r="AM129" i="55" s="1"/>
  <c r="AM130" i="55" s="1" a="1"/>
  <c r="AM130" i="55" s="1"/>
  <c r="AM131" i="55" s="1" a="1"/>
  <c r="AM131" i="55" s="1"/>
  <c r="AM132" i="55" s="1" a="1"/>
  <c r="AM132" i="55" s="1"/>
  <c r="AM133" i="55" s="1" a="1"/>
  <c r="AM133" i="55" s="1"/>
  <c r="AM134" i="55" s="1" a="1"/>
  <c r="AM134" i="55" s="1"/>
  <c r="AM135" i="55" s="1" a="1"/>
  <c r="AM135" i="55" s="1"/>
  <c r="AM136" i="55" s="1" a="1"/>
  <c r="AM136" i="55" s="1"/>
  <c r="AM137" i="55" s="1" a="1"/>
  <c r="AM137" i="55" s="1"/>
  <c r="AM138" i="55" s="1" a="1"/>
  <c r="AM138" i="55" s="1"/>
  <c r="AM139" i="55" s="1" a="1"/>
  <c r="AM139" i="55" s="1"/>
  <c r="AM140" i="55" s="1" a="1"/>
  <c r="AM140" i="55" s="1"/>
  <c r="AM141" i="55" s="1" a="1"/>
  <c r="AM141" i="55" s="1"/>
  <c r="AM142" i="55" s="1" a="1"/>
  <c r="AM142" i="55" s="1"/>
  <c r="AM143" i="55" s="1" a="1"/>
  <c r="AM143" i="55" s="1"/>
  <c r="AM144" i="55" s="1" a="1"/>
  <c r="AM144" i="55" s="1"/>
  <c r="AM145" i="55" s="1" a="1"/>
  <c r="AM145" i="55" s="1"/>
  <c r="AM146" i="55" s="1" a="1"/>
  <c r="AM146" i="55" s="1"/>
  <c r="AM147" i="55" s="1" a="1"/>
  <c r="AM147" i="55" s="1"/>
  <c r="AM148" i="55" s="1" a="1"/>
  <c r="AM148" i="55" s="1"/>
  <c r="AM149" i="55" s="1" a="1"/>
  <c r="AM149" i="55" s="1"/>
  <c r="AM150" i="55" s="1" a="1"/>
  <c r="AM150" i="55" s="1"/>
  <c r="AM151" i="55" s="1" a="1"/>
  <c r="AM151" i="55" s="1"/>
  <c r="AM152" i="55" s="1" a="1"/>
  <c r="AM152" i="55" s="1"/>
  <c r="AM153" i="55" s="1" a="1"/>
  <c r="AM153" i="55" s="1"/>
  <c r="AM154" i="55" s="1" a="1"/>
  <c r="AM154" i="55" s="1"/>
  <c r="AM155" i="55" s="1" a="1"/>
  <c r="AM155" i="55" s="1"/>
  <c r="AM156" i="55" s="1" a="1"/>
  <c r="AM156" i="55" s="1"/>
  <c r="AM157" i="55" s="1" a="1"/>
  <c r="AM157" i="55" s="1"/>
  <c r="AM158" i="55" s="1" a="1"/>
  <c r="AM158" i="55" s="1"/>
  <c r="AM159" i="55" s="1" a="1"/>
  <c r="AM159" i="55" s="1"/>
  <c r="AM160" i="55" s="1" a="1"/>
  <c r="AM160" i="55" s="1"/>
  <c r="AM161" i="55" s="1" a="1"/>
  <c r="AM161" i="55" s="1"/>
  <c r="AM162" i="55" s="1" a="1"/>
  <c r="AM162" i="55" s="1"/>
  <c r="AM163" i="55" s="1" a="1"/>
  <c r="AM163" i="55" s="1"/>
  <c r="AM164" i="55" s="1" a="1"/>
  <c r="AM164" i="55" s="1"/>
  <c r="AM165" i="55" s="1" a="1"/>
  <c r="AM165" i="55" s="1"/>
  <c r="AM166" i="55" s="1" a="1"/>
  <c r="AM166" i="55" s="1"/>
  <c r="AM167" i="55" s="1" a="1"/>
  <c r="AM167" i="55" s="1"/>
  <c r="AM168" i="55" s="1" a="1"/>
  <c r="AM168" i="55" s="1"/>
  <c r="AM169" i="55" s="1" a="1"/>
  <c r="AM169" i="55" s="1"/>
  <c r="AM170" i="55" s="1" a="1"/>
  <c r="AM170" i="55" s="1"/>
  <c r="AM171" i="55" s="1" a="1"/>
  <c r="AM171" i="55" s="1"/>
  <c r="AM172" i="55" s="1" a="1"/>
  <c r="AM172" i="55" s="1"/>
  <c r="AM173" i="55" s="1" a="1"/>
  <c r="AM173" i="55" s="1"/>
  <c r="AM174" i="55" s="1" a="1"/>
  <c r="AM174" i="55" s="1"/>
  <c r="AM175" i="55" s="1" a="1"/>
  <c r="AM175" i="55" s="1"/>
  <c r="AM176" i="55" s="1" a="1"/>
  <c r="AM176" i="55" s="1"/>
  <c r="AM177" i="55" s="1" a="1"/>
  <c r="AM177" i="55" s="1"/>
  <c r="AM178" i="55" s="1" a="1"/>
  <c r="AM178" i="55" s="1"/>
  <c r="AM179" i="55" s="1" a="1"/>
  <c r="AM179" i="55" s="1"/>
  <c r="AM180" i="55" s="1" a="1"/>
  <c r="AM180" i="55" s="1"/>
  <c r="AM181" i="55" s="1" a="1"/>
  <c r="AM181" i="55" s="1"/>
  <c r="AM182" i="55" s="1" a="1"/>
  <c r="AM182" i="55" s="1"/>
  <c r="AM183" i="55" s="1" a="1"/>
  <c r="AM183" i="55" s="1"/>
  <c r="AM184" i="55" s="1" a="1"/>
  <c r="AM184" i="55" s="1"/>
  <c r="AM185" i="55" s="1" a="1"/>
  <c r="AM185" i="55" s="1"/>
  <c r="AM186" i="55" s="1" a="1"/>
  <c r="AM186" i="55" s="1"/>
  <c r="AM187" i="55" s="1" a="1"/>
  <c r="AM187" i="55" s="1"/>
  <c r="AM188" i="55" s="1" a="1"/>
  <c r="AM188" i="55" s="1"/>
  <c r="AM189" i="55" s="1" a="1"/>
  <c r="AM189" i="55" s="1"/>
  <c r="AM190" i="55" s="1" a="1"/>
  <c r="AM190" i="55" s="1"/>
  <c r="AM191" i="55" s="1" a="1"/>
  <c r="AM191" i="55" s="1"/>
  <c r="AM192" i="55" s="1" a="1"/>
  <c r="AM192" i="55" s="1"/>
  <c r="AM193" i="55" s="1" a="1"/>
  <c r="AM193" i="55" s="1"/>
  <c r="AM194" i="55" s="1" a="1"/>
  <c r="AM194" i="55" s="1"/>
  <c r="AM195" i="55" s="1" a="1"/>
  <c r="AM195" i="55" s="1"/>
  <c r="AM196" i="55" s="1" a="1"/>
  <c r="AM196" i="55" s="1"/>
  <c r="AM197" i="55" s="1" a="1"/>
  <c r="AM197" i="55" s="1"/>
  <c r="AM198" i="55" s="1" a="1"/>
  <c r="AM198" i="55" s="1"/>
  <c r="AM199" i="55" s="1" a="1"/>
  <c r="AM199" i="55" s="1"/>
  <c r="AM200" i="55" s="1" a="1"/>
  <c r="AM200" i="55" s="1"/>
  <c r="AM201" i="55" s="1" a="1"/>
  <c r="AM201" i="55" s="1"/>
  <c r="AM202" i="55" s="1" a="1"/>
  <c r="AM202" i="55" s="1"/>
  <c r="AM203" i="55" s="1" a="1"/>
  <c r="AM203" i="55" s="1"/>
  <c r="AM204" i="55" s="1" a="1"/>
  <c r="AM204" i="55" s="1"/>
  <c r="AM205" i="55" s="1" a="1"/>
  <c r="AM205" i="55" s="1"/>
  <c r="AM206" i="55" s="1" a="1"/>
  <c r="AM206" i="55" s="1"/>
  <c r="AM207" i="55" s="1" a="1"/>
  <c r="AM207" i="55" s="1"/>
  <c r="AM208" i="55" s="1" a="1"/>
  <c r="AM208" i="55" s="1"/>
  <c r="AM209" i="55" s="1" a="1"/>
  <c r="AM209" i="55" s="1"/>
  <c r="AM210" i="55" s="1" a="1"/>
  <c r="AM210" i="55" s="1"/>
  <c r="AM211" i="55" s="1" a="1"/>
  <c r="AM211" i="55" s="1"/>
  <c r="AM212" i="55" s="1" a="1"/>
  <c r="AM212" i="55" s="1"/>
  <c r="AM213" i="55" s="1" a="1"/>
  <c r="AM213" i="55" s="1"/>
  <c r="AM214" i="55" s="1" a="1"/>
  <c r="AM214" i="55" s="1"/>
  <c r="AM215" i="55" s="1" a="1"/>
  <c r="AM215" i="55" s="1"/>
  <c r="AM216" i="55" s="1" a="1"/>
  <c r="AM216" i="55" s="1"/>
  <c r="AM217" i="55" s="1" a="1"/>
  <c r="AM217" i="55" s="1"/>
  <c r="AM218" i="55" s="1" a="1"/>
  <c r="AM218" i="55" s="1"/>
  <c r="AM219" i="55" s="1" a="1"/>
  <c r="AM219" i="55" s="1"/>
  <c r="AM220" i="55" s="1" a="1"/>
  <c r="AM220" i="55" s="1"/>
  <c r="AM221" i="55" s="1" a="1"/>
  <c r="AM221" i="55" s="1"/>
  <c r="AM222" i="55" s="1" a="1"/>
  <c r="AM222" i="55" s="1"/>
  <c r="AM223" i="55" s="1" a="1"/>
  <c r="AM223" i="55" s="1"/>
  <c r="AM224" i="55" s="1" a="1"/>
  <c r="AM224" i="55" s="1"/>
  <c r="AM225" i="55" s="1" a="1"/>
  <c r="AM225" i="55" s="1"/>
  <c r="AM226" i="55" s="1" a="1"/>
  <c r="AM226" i="55" s="1"/>
  <c r="AM227" i="55" s="1" a="1"/>
  <c r="AM227" i="55" s="1"/>
  <c r="AM228" i="55" s="1" a="1"/>
  <c r="AM228" i="55" s="1"/>
  <c r="AM229" i="55" s="1" a="1"/>
  <c r="AM229" i="55" s="1"/>
  <c r="AM230" i="55" s="1" a="1"/>
  <c r="AM230" i="55" s="1"/>
  <c r="AM231" i="55" s="1" a="1"/>
  <c r="AM231" i="55" s="1"/>
  <c r="AM232" i="55" s="1" a="1"/>
  <c r="AM232" i="55" s="1"/>
  <c r="AM233" i="55" s="1" a="1"/>
  <c r="AM233" i="55" s="1"/>
  <c r="AM234" i="55" s="1" a="1"/>
  <c r="AM234" i="55" s="1"/>
  <c r="AM235" i="55" s="1" a="1"/>
  <c r="AM235" i="55" s="1"/>
  <c r="AM236" i="55" s="1" a="1"/>
  <c r="AM236" i="55" s="1"/>
  <c r="AM237" i="55" s="1" a="1"/>
  <c r="AM237" i="55" s="1"/>
  <c r="AM238" i="55" s="1" a="1"/>
  <c r="AM238" i="55" s="1"/>
  <c r="AM239" i="55" s="1" a="1"/>
  <c r="AM239" i="55" s="1"/>
  <c r="AM240" i="55" s="1" a="1"/>
  <c r="AM240" i="55" s="1"/>
  <c r="AM241" i="55" s="1" a="1"/>
  <c r="AM241" i="55" s="1"/>
  <c r="AM242" i="55" s="1" a="1"/>
  <c r="AM242" i="55" s="1"/>
  <c r="AM243" i="55" s="1" a="1"/>
  <c r="AM243" i="55" s="1"/>
  <c r="AM244" i="55" s="1" a="1"/>
  <c r="AM244" i="55" s="1"/>
  <c r="AM245" i="55" s="1" a="1"/>
  <c r="AM245" i="55" s="1"/>
  <c r="AM246" i="55" s="1" a="1"/>
  <c r="AM246" i="55" s="1"/>
  <c r="AM247" i="55" s="1" a="1"/>
  <c r="AM247" i="55" s="1"/>
  <c r="AM248" i="55" s="1" a="1"/>
  <c r="AM248" i="55" s="1"/>
  <c r="AM249" i="55" s="1" a="1"/>
  <c r="AM249" i="55" s="1"/>
  <c r="AM250" i="55" s="1" a="1"/>
  <c r="AM250" i="55" s="1"/>
  <c r="AM251" i="55" s="1" a="1"/>
  <c r="AM251" i="55" s="1"/>
  <c r="AM252" i="55" s="1" a="1"/>
  <c r="AM252" i="55" s="1"/>
  <c r="AM253" i="55" s="1" a="1"/>
  <c r="AM253" i="55" s="1"/>
  <c r="AM254" i="55" s="1" a="1"/>
  <c r="AM254" i="55" s="1"/>
  <c r="AM255" i="55" s="1" a="1"/>
  <c r="AM255" i="55" s="1"/>
  <c r="AM256" i="55" s="1" a="1"/>
  <c r="AM256" i="55" s="1"/>
  <c r="AM257" i="55" s="1" a="1"/>
  <c r="AM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X15" i="57" l="1"/>
  <c r="AB15" i="57" s="1"/>
  <c r="R17" i="57"/>
  <c r="M19" i="53"/>
  <c r="AC19" i="53" s="1"/>
  <c r="O19" i="53"/>
  <c r="Q17" i="57"/>
  <c r="T17" i="57" s="1"/>
  <c r="AD17" i="57"/>
  <c r="AQ17" i="57"/>
  <c r="M18" i="57"/>
  <c r="AQ18" i="57" s="1"/>
  <c r="N19" i="53"/>
  <c r="AA17" i="53"/>
  <c r="AB17" i="53"/>
  <c r="AA15" i="53"/>
  <c r="AB15" i="53"/>
  <c r="AA16" i="53"/>
  <c r="AB16" i="53"/>
  <c r="AG17" i="53"/>
  <c r="O16" i="57"/>
  <c r="X16" i="57" s="1"/>
  <c r="O17" i="57"/>
  <c r="N18" i="57"/>
  <c r="AC18" i="53"/>
  <c r="L19" i="57"/>
  <c r="AH13" i="53"/>
  <c r="AK18" i="52" a="1"/>
  <c r="AK18" i="52" s="1"/>
  <c r="B20" i="53" s="1"/>
  <c r="I19" i="57"/>
  <c r="F19" i="57"/>
  <c r="E19" i="57"/>
  <c r="C19" i="57"/>
  <c r="K19" i="57"/>
  <c r="J19" i="57"/>
  <c r="G19" i="57"/>
  <c r="H19" i="57"/>
  <c r="D19" i="57"/>
  <c r="L19" i="53"/>
  <c r="K19" i="53"/>
  <c r="I19" i="53"/>
  <c r="H19" i="53"/>
  <c r="G19" i="53"/>
  <c r="C19" i="53"/>
  <c r="P19" i="53"/>
  <c r="E19" i="53"/>
  <c r="D19" i="53"/>
  <c r="F19" i="53"/>
  <c r="J19" i="53"/>
  <c r="AN18" i="55" a="1"/>
  <c r="AN18" i="55" s="1"/>
  <c r="B20" i="57" s="1"/>
  <c r="P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AA15" i="57" l="1"/>
  <c r="AE15" i="57" s="1"/>
  <c r="AF15" i="57" s="1"/>
  <c r="AG17" i="57"/>
  <c r="X17" i="57"/>
  <c r="AB17" i="57" s="1"/>
  <c r="M20" i="53"/>
  <c r="AC20" i="53" s="1"/>
  <c r="O20" i="53"/>
  <c r="Q18" i="57"/>
  <c r="T18" i="57" s="1"/>
  <c r="AK18" i="57"/>
  <c r="AD18" i="57"/>
  <c r="R18" i="57"/>
  <c r="M19" i="57"/>
  <c r="R19" i="57" s="1"/>
  <c r="N20" i="53"/>
  <c r="AA16" i="57"/>
  <c r="AB16" i="57"/>
  <c r="AC15" i="57"/>
  <c r="AE17" i="53"/>
  <c r="AF17" i="53" s="1"/>
  <c r="R18" i="53"/>
  <c r="X18" i="53" s="1"/>
  <c r="Q18" i="53"/>
  <c r="AT18" i="53"/>
  <c r="N19" i="57"/>
  <c r="O18" i="57"/>
  <c r="AD18" i="53"/>
  <c r="AE16" i="53"/>
  <c r="AF16" i="53" s="1"/>
  <c r="AE15" i="53"/>
  <c r="AF15" i="53" s="1"/>
  <c r="AE16" i="57"/>
  <c r="AF16" i="57" s="1"/>
  <c r="AC16" i="57"/>
  <c r="L20" i="57"/>
  <c r="AG15" i="57"/>
  <c r="AJ14" i="57"/>
  <c r="AG16" i="57"/>
  <c r="AG15" i="53"/>
  <c r="AG16" i="53"/>
  <c r="L20" i="53"/>
  <c r="P20" i="53"/>
  <c r="H20" i="53"/>
  <c r="F20" i="53"/>
  <c r="D20" i="53"/>
  <c r="E20" i="53"/>
  <c r="J20" i="53"/>
  <c r="K20" i="53"/>
  <c r="G20" i="53"/>
  <c r="C20" i="53"/>
  <c r="I20" i="53"/>
  <c r="AK19" i="52" a="1"/>
  <c r="AK19" i="52" s="1"/>
  <c r="B21" i="53" s="1"/>
  <c r="I20" i="57"/>
  <c r="H20" i="57"/>
  <c r="G20" i="57"/>
  <c r="E20" i="57"/>
  <c r="D20" i="57"/>
  <c r="C20" i="57"/>
  <c r="K20" i="57"/>
  <c r="F20" i="57"/>
  <c r="J20" i="57"/>
  <c r="AN19" i="55" a="1"/>
  <c r="AN19" i="55" s="1"/>
  <c r="B21" i="57" s="1"/>
  <c r="P21" i="57" s="1"/>
  <c r="AL11" i="59"/>
  <c r="A133" i="99"/>
  <c r="A132" i="99"/>
  <c r="A131" i="99"/>
  <c r="A130" i="99"/>
  <c r="A129" i="99"/>
  <c r="A124" i="99"/>
  <c r="A123" i="99"/>
  <c r="A119" i="99"/>
  <c r="A116" i="99"/>
  <c r="C131" i="33"/>
  <c r="C130" i="33"/>
  <c r="C134" i="33"/>
  <c r="C133" i="33"/>
  <c r="C132" i="33"/>
  <c r="C125" i="33"/>
  <c r="C124" i="33"/>
  <c r="C120" i="33"/>
  <c r="C117" i="33"/>
  <c r="F133" i="20"/>
  <c r="F132" i="20"/>
  <c r="F131" i="20"/>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s="1"/>
  <c r="Q119" i="29"/>
  <c r="E130" i="28" s="1"/>
  <c r="O119" i="29"/>
  <c r="C130" i="28" s="1"/>
  <c r="Q113" i="29"/>
  <c r="E129" i="28" s="1"/>
  <c r="O113" i="29"/>
  <c r="C129" i="28" s="1"/>
  <c r="Q133" i="29"/>
  <c r="E128" i="28" s="1"/>
  <c r="O133" i="29"/>
  <c r="C128" i="28" s="1"/>
  <c r="Q132" i="29"/>
  <c r="E127" i="28" s="1"/>
  <c r="O132" i="29"/>
  <c r="C127" i="28" s="1"/>
  <c r="Q131" i="29"/>
  <c r="E126" i="28" s="1"/>
  <c r="O131" i="29"/>
  <c r="C126" i="28" s="1"/>
  <c r="Q130" i="29"/>
  <c r="E125" i="28" s="1"/>
  <c r="O130" i="29"/>
  <c r="C125" i="28" s="1"/>
  <c r="M130" i="29"/>
  <c r="L130" i="29"/>
  <c r="M124" i="29"/>
  <c r="D124" i="22" s="1"/>
  <c r="M123" i="29"/>
  <c r="D123" i="22" s="1"/>
  <c r="Q124" i="29"/>
  <c r="E132" i="28" s="1"/>
  <c r="Q123" i="29"/>
  <c r="E131" i="28" s="1"/>
  <c r="O124" i="29"/>
  <c r="C132" i="28" s="1"/>
  <c r="O123" i="29"/>
  <c r="C131" i="28" s="1"/>
  <c r="Q129" i="29"/>
  <c r="O129" i="29"/>
  <c r="F123" i="22" l="1"/>
  <c r="X123" i="22"/>
  <c r="T123" i="22"/>
  <c r="X115" i="22"/>
  <c r="T115" i="22"/>
  <c r="F124" i="22"/>
  <c r="X124" i="22"/>
  <c r="T124" i="22"/>
  <c r="X116" i="22"/>
  <c r="T116" i="22"/>
  <c r="F119" i="22"/>
  <c r="X119" i="22"/>
  <c r="T119" i="22"/>
  <c r="AG18" i="57"/>
  <c r="X18" i="57"/>
  <c r="AB18" i="57" s="1"/>
  <c r="M21" i="53"/>
  <c r="AC21" i="53" s="1"/>
  <c r="O21" i="53"/>
  <c r="AQ19" i="57"/>
  <c r="Q19" i="57"/>
  <c r="T19" i="57" s="1"/>
  <c r="AK19" i="57"/>
  <c r="AD19" i="57"/>
  <c r="M20" i="57"/>
  <c r="AK20" i="57" s="1"/>
  <c r="N21" i="53"/>
  <c r="AA18" i="53"/>
  <c r="AB18" i="53"/>
  <c r="AH17" i="53"/>
  <c r="AG18" i="53"/>
  <c r="AA17" i="57"/>
  <c r="AE17" i="57" s="1"/>
  <c r="AF17" i="57" s="1"/>
  <c r="Q19" i="53"/>
  <c r="AD19" i="53"/>
  <c r="AT19" i="53"/>
  <c r="R19" i="53"/>
  <c r="O19" i="57"/>
  <c r="N20" i="57"/>
  <c r="S119" i="22"/>
  <c r="E119" i="22"/>
  <c r="E123" i="22"/>
  <c r="S123" i="22"/>
  <c r="S115" i="22"/>
  <c r="E115" i="22"/>
  <c r="E124" i="22"/>
  <c r="S124" i="22"/>
  <c r="S116" i="22"/>
  <c r="E116" i="22"/>
  <c r="L21" i="57"/>
  <c r="AJ15" i="57"/>
  <c r="AH14" i="53"/>
  <c r="AK20" i="52" a="1"/>
  <c r="AK20" i="52" s="1"/>
  <c r="B22" i="53" s="1"/>
  <c r="G21" i="57"/>
  <c r="J21" i="57"/>
  <c r="F21" i="57"/>
  <c r="K21" i="57"/>
  <c r="C21" i="57"/>
  <c r="H21" i="57"/>
  <c r="E21" i="57"/>
  <c r="I21" i="57"/>
  <c r="D21" i="57"/>
  <c r="K21" i="53"/>
  <c r="I21" i="53"/>
  <c r="G21" i="53"/>
  <c r="E21" i="53"/>
  <c r="C21" i="53"/>
  <c r="H21" i="53"/>
  <c r="L21" i="53"/>
  <c r="P21" i="53"/>
  <c r="D21" i="53"/>
  <c r="J21" i="53"/>
  <c r="F21" i="53"/>
  <c r="AN20" i="55" a="1"/>
  <c r="AN20" i="55" s="1"/>
  <c r="B22" i="57" s="1"/>
  <c r="P22" i="57" s="1"/>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X19" i="53" l="1"/>
  <c r="AA19" i="53" s="1"/>
  <c r="AG19" i="57"/>
  <c r="X19" i="57"/>
  <c r="AB19" i="57" s="1"/>
  <c r="AD20" i="57"/>
  <c r="M22" i="53"/>
  <c r="AC22" i="53" s="1"/>
  <c r="O22" i="53"/>
  <c r="Q20" i="57"/>
  <c r="T20" i="57" s="1"/>
  <c r="AQ20" i="57"/>
  <c r="R20" i="57"/>
  <c r="M21" i="57"/>
  <c r="AD21" i="57" s="1"/>
  <c r="N22" i="53"/>
  <c r="AC17" i="57"/>
  <c r="AJ17" i="57" s="1"/>
  <c r="AG19" i="53"/>
  <c r="AA18" i="57"/>
  <c r="AE18" i="57" s="1"/>
  <c r="AF18" i="57" s="1"/>
  <c r="AD20" i="53"/>
  <c r="R20" i="53"/>
  <c r="Q20" i="53"/>
  <c r="O20" i="57"/>
  <c r="N21" i="57"/>
  <c r="AT20" i="53"/>
  <c r="AE18" i="53"/>
  <c r="AF18" i="53" s="1"/>
  <c r="I123" i="22"/>
  <c r="I124" i="22"/>
  <c r="AH16" i="53"/>
  <c r="L22" i="57"/>
  <c r="AJ16" i="57"/>
  <c r="AK21" i="52" a="1"/>
  <c r="AK21" i="52" s="1"/>
  <c r="B23" i="53" s="1"/>
  <c r="L22" i="53"/>
  <c r="P22" i="53"/>
  <c r="H22" i="53"/>
  <c r="F22" i="53"/>
  <c r="D22" i="53"/>
  <c r="G22" i="53"/>
  <c r="C22" i="53"/>
  <c r="J22" i="53"/>
  <c r="I22" i="53"/>
  <c r="E22" i="53"/>
  <c r="K22" i="53"/>
  <c r="K22" i="57"/>
  <c r="I22" i="57"/>
  <c r="H22" i="57"/>
  <c r="G22" i="57"/>
  <c r="E22" i="57"/>
  <c r="D22" i="57"/>
  <c r="C22" i="57"/>
  <c r="F22" i="57"/>
  <c r="J22" i="57"/>
  <c r="AN21" i="55" a="1"/>
  <c r="AN21" i="55" s="1"/>
  <c r="B23" i="57" s="1"/>
  <c r="P23" i="57" s="1"/>
  <c r="X20" i="53" l="1"/>
  <c r="AA20" i="53" s="1"/>
  <c r="AG20" i="57"/>
  <c r="X20" i="57"/>
  <c r="AB20" i="57" s="1"/>
  <c r="AB19" i="53"/>
  <c r="M23" i="53"/>
  <c r="AC23" i="53" s="1"/>
  <c r="O23" i="53"/>
  <c r="Q21" i="57"/>
  <c r="T21" i="57" s="1"/>
  <c r="AQ21" i="57"/>
  <c r="R21" i="57"/>
  <c r="AK21" i="57"/>
  <c r="M22" i="57"/>
  <c r="AD22" i="57" s="1"/>
  <c r="N23" i="53"/>
  <c r="AC18" i="57"/>
  <c r="AJ18" i="57" s="1"/>
  <c r="AH18" i="53"/>
  <c r="AG20" i="53"/>
  <c r="AA19" i="57"/>
  <c r="AE19" i="57" s="1"/>
  <c r="AF19" i="57" s="1"/>
  <c r="O21" i="57"/>
  <c r="N22" i="57"/>
  <c r="AT21" i="53"/>
  <c r="Q21" i="53"/>
  <c r="R21" i="53"/>
  <c r="AD21" i="53"/>
  <c r="R22" i="53"/>
  <c r="L23" i="57"/>
  <c r="AH15" i="53"/>
  <c r="AT22" i="53"/>
  <c r="AD22" i="53"/>
  <c r="K23" i="57"/>
  <c r="I23" i="57"/>
  <c r="F23" i="57"/>
  <c r="C23" i="57"/>
  <c r="H23" i="57"/>
  <c r="D23" i="57"/>
  <c r="E23" i="57"/>
  <c r="G23" i="57"/>
  <c r="J23" i="57"/>
  <c r="Q22" i="53"/>
  <c r="AK22" i="52" a="1"/>
  <c r="AK22" i="52" s="1"/>
  <c r="B24" i="53" s="1"/>
  <c r="H23" i="53"/>
  <c r="G23" i="53"/>
  <c r="P23" i="53"/>
  <c r="E23" i="53"/>
  <c r="D23" i="53"/>
  <c r="C23" i="53"/>
  <c r="K23" i="53"/>
  <c r="I23" i="53"/>
  <c r="L23" i="53"/>
  <c r="F23" i="53"/>
  <c r="J23" i="53"/>
  <c r="AN22" i="55" a="1"/>
  <c r="AN22" i="55" s="1"/>
  <c r="B24" i="57" s="1"/>
  <c r="P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B20" i="53" l="1"/>
  <c r="X21" i="53"/>
  <c r="AB21" i="53" s="1"/>
  <c r="AG21" i="57"/>
  <c r="X21" i="57"/>
  <c r="AB21" i="57" s="1"/>
  <c r="X22" i="53"/>
  <c r="AB22" i="53" s="1"/>
  <c r="M24" i="53"/>
  <c r="AC24" i="53" s="1"/>
  <c r="O24" i="53"/>
  <c r="R22" i="57"/>
  <c r="AK22" i="57"/>
  <c r="AQ22" i="57"/>
  <c r="Q22" i="57"/>
  <c r="T22" i="57" s="1"/>
  <c r="M23" i="57"/>
  <c r="AK23" i="57" s="1"/>
  <c r="N24" i="53"/>
  <c r="AE20" i="53"/>
  <c r="AF20" i="53" s="1"/>
  <c r="AC19" i="57"/>
  <c r="AJ19" i="57" s="1"/>
  <c r="AG22" i="53"/>
  <c r="AE19" i="53"/>
  <c r="AF19" i="53" s="1"/>
  <c r="AA20" i="57"/>
  <c r="AE20" i="57" s="1"/>
  <c r="AF20" i="57" s="1"/>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s="1"/>
  <c r="U13" i="68" s="1"/>
  <c r="Q13" i="68"/>
  <c r="O22" i="57"/>
  <c r="N23" i="57"/>
  <c r="AE22" i="53"/>
  <c r="AG21" i="53"/>
  <c r="R23" i="53"/>
  <c r="L24" i="57"/>
  <c r="AT23" i="53"/>
  <c r="AD23" i="53"/>
  <c r="AK23" i="52" a="1"/>
  <c r="AK23" i="52" s="1"/>
  <c r="B25" i="53" s="1"/>
  <c r="H24" i="57"/>
  <c r="G24" i="57"/>
  <c r="E24" i="57"/>
  <c r="D24" i="57"/>
  <c r="C24" i="57"/>
  <c r="K24" i="57"/>
  <c r="I24" i="57"/>
  <c r="F24" i="57"/>
  <c r="J24" i="57"/>
  <c r="Q23" i="53"/>
  <c r="L24" i="53"/>
  <c r="H24" i="53"/>
  <c r="F24" i="53"/>
  <c r="D24" i="53"/>
  <c r="P24" i="53"/>
  <c r="G24" i="53"/>
  <c r="C24" i="53"/>
  <c r="I24" i="53"/>
  <c r="E24" i="53"/>
  <c r="J24" i="53"/>
  <c r="K24" i="53"/>
  <c r="AN23" i="55" a="1"/>
  <c r="AN23" i="55" s="1"/>
  <c r="B25" i="57" s="1"/>
  <c r="P25" i="57" s="1"/>
  <c r="L12" i="64"/>
  <c r="L13" i="64"/>
  <c r="O13" i="64" s="1"/>
  <c r="P13" i="64" s="1"/>
  <c r="L14" i="64"/>
  <c r="O14" i="64" s="1"/>
  <c r="P14" i="64" s="1"/>
  <c r="L15" i="64"/>
  <c r="O15" i="64" s="1"/>
  <c r="P15" i="64" s="1"/>
  <c r="L16" i="64"/>
  <c r="O16" i="64" s="1"/>
  <c r="P16" i="64" s="1"/>
  <c r="L17" i="64"/>
  <c r="O17" i="64" s="1"/>
  <c r="P17" i="64" s="1"/>
  <c r="L18" i="64"/>
  <c r="O18" i="64" s="1"/>
  <c r="P18" i="64" s="1"/>
  <c r="L19" i="64"/>
  <c r="O19" i="64" s="1"/>
  <c r="P19" i="64" s="1"/>
  <c r="L20" i="64"/>
  <c r="O20" i="64" s="1"/>
  <c r="P20" i="64" s="1"/>
  <c r="L21" i="64"/>
  <c r="O21" i="64" s="1"/>
  <c r="P21" i="64" s="1"/>
  <c r="L22" i="64"/>
  <c r="O22" i="64" s="1"/>
  <c r="P22" i="64" s="1"/>
  <c r="L23" i="64"/>
  <c r="O23" i="64" s="1"/>
  <c r="P23" i="64" s="1"/>
  <c r="L24" i="64"/>
  <c r="O24" i="64" s="1"/>
  <c r="P24" i="64" s="1"/>
  <c r="L25" i="64"/>
  <c r="O25" i="64" s="1"/>
  <c r="P25" i="64" s="1"/>
  <c r="L26" i="64"/>
  <c r="O26" i="64" s="1"/>
  <c r="P26" i="64" s="1"/>
  <c r="L27" i="64"/>
  <c r="O27" i="64" s="1"/>
  <c r="P27" i="64" s="1"/>
  <c r="L28" i="64"/>
  <c r="O28" i="64" s="1"/>
  <c r="P28" i="64" s="1"/>
  <c r="L29" i="64"/>
  <c r="O29" i="64" s="1"/>
  <c r="P29" i="64" s="1"/>
  <c r="L30" i="64"/>
  <c r="O30" i="64" s="1"/>
  <c r="P30" i="64" s="1"/>
  <c r="L31" i="64"/>
  <c r="O31" i="64" s="1"/>
  <c r="P31" i="64" s="1"/>
  <c r="L32" i="64"/>
  <c r="O32" i="64" s="1"/>
  <c r="P32" i="64" s="1"/>
  <c r="L33" i="64"/>
  <c r="O33" i="64" s="1"/>
  <c r="P33" i="64" s="1"/>
  <c r="L34" i="64"/>
  <c r="O34" i="64" s="1"/>
  <c r="P34" i="64" s="1"/>
  <c r="L35" i="64"/>
  <c r="O35" i="64" s="1"/>
  <c r="P35" i="64" s="1"/>
  <c r="L36" i="64"/>
  <c r="O36" i="64" s="1"/>
  <c r="P36" i="64" s="1"/>
  <c r="L37" i="64"/>
  <c r="O37" i="64" s="1"/>
  <c r="P37" i="64" s="1"/>
  <c r="L38" i="64"/>
  <c r="O38" i="64" s="1"/>
  <c r="P38" i="64" s="1"/>
  <c r="L39" i="64"/>
  <c r="O39" i="64" s="1"/>
  <c r="P39" i="64" s="1"/>
  <c r="L40" i="64"/>
  <c r="O40" i="64" s="1"/>
  <c r="P40" i="64" s="1"/>
  <c r="L41" i="64"/>
  <c r="O41" i="64" s="1"/>
  <c r="P41" i="64" s="1"/>
  <c r="L42" i="64"/>
  <c r="O42" i="64" s="1"/>
  <c r="P42" i="64" s="1"/>
  <c r="L43" i="64"/>
  <c r="O43" i="64" s="1"/>
  <c r="P43" i="64" s="1"/>
  <c r="L44" i="64"/>
  <c r="O44" i="64" s="1"/>
  <c r="P44" i="64" s="1"/>
  <c r="L45" i="64"/>
  <c r="O45" i="64" s="1"/>
  <c r="P45" i="64" s="1"/>
  <c r="L46" i="64"/>
  <c r="O46" i="64" s="1"/>
  <c r="P46" i="64" s="1"/>
  <c r="L47" i="64"/>
  <c r="O47" i="64" s="1"/>
  <c r="P47" i="64" s="1"/>
  <c r="L48" i="64"/>
  <c r="O48" i="64" s="1"/>
  <c r="P48" i="64" s="1"/>
  <c r="L49" i="64"/>
  <c r="O49" i="64" s="1"/>
  <c r="P49" i="64" s="1"/>
  <c r="L50" i="64"/>
  <c r="O50" i="64" s="1"/>
  <c r="P50" i="64" s="1"/>
  <c r="L51" i="64"/>
  <c r="O51" i="64" s="1"/>
  <c r="P51" i="64" s="1"/>
  <c r="L52" i="64"/>
  <c r="O52" i="64" s="1"/>
  <c r="P52" i="64" s="1"/>
  <c r="L53" i="64"/>
  <c r="O53" i="64" s="1"/>
  <c r="P53" i="64" s="1"/>
  <c r="L54" i="64"/>
  <c r="O54" i="64" s="1"/>
  <c r="P54" i="64" s="1"/>
  <c r="L55" i="64"/>
  <c r="O55" i="64" s="1"/>
  <c r="P55" i="64" s="1"/>
  <c r="L56" i="64"/>
  <c r="O56" i="64" s="1"/>
  <c r="P56" i="64" s="1"/>
  <c r="L57" i="64"/>
  <c r="O57" i="64" s="1"/>
  <c r="P57" i="64" s="1"/>
  <c r="L58" i="64"/>
  <c r="O58" i="64" s="1"/>
  <c r="P58" i="64" s="1"/>
  <c r="L59" i="64"/>
  <c r="O59" i="64" s="1"/>
  <c r="P59" i="64" s="1"/>
  <c r="L60" i="64"/>
  <c r="O60" i="64" s="1"/>
  <c r="P60" i="64" s="1"/>
  <c r="L61" i="64"/>
  <c r="O61" i="64" s="1"/>
  <c r="P61" i="64" s="1"/>
  <c r="L62" i="64"/>
  <c r="O62" i="64" s="1"/>
  <c r="P62" i="64" s="1"/>
  <c r="L63" i="64"/>
  <c r="O63" i="64" s="1"/>
  <c r="P63" i="64" s="1"/>
  <c r="L64" i="64"/>
  <c r="O64" i="64" s="1"/>
  <c r="P64" i="64" s="1"/>
  <c r="L65" i="64"/>
  <c r="O65" i="64" s="1"/>
  <c r="P65" i="64" s="1"/>
  <c r="L66" i="64"/>
  <c r="O66" i="64" s="1"/>
  <c r="P66" i="64" s="1"/>
  <c r="L67" i="64"/>
  <c r="O67" i="64" s="1"/>
  <c r="P67" i="64" s="1"/>
  <c r="L68" i="64"/>
  <c r="O68" i="64" s="1"/>
  <c r="P68" i="64" s="1"/>
  <c r="L69" i="64"/>
  <c r="O69" i="64" s="1"/>
  <c r="P69" i="64" s="1"/>
  <c r="L70" i="64"/>
  <c r="O70" i="64" s="1"/>
  <c r="P70" i="64" s="1"/>
  <c r="L71" i="64"/>
  <c r="O71" i="64" s="1"/>
  <c r="P71" i="64" s="1"/>
  <c r="L72" i="64"/>
  <c r="O72" i="64" s="1"/>
  <c r="P72" i="64" s="1"/>
  <c r="L73" i="64"/>
  <c r="O73" i="64" s="1"/>
  <c r="P73" i="64" s="1"/>
  <c r="L74" i="64"/>
  <c r="O74" i="64" s="1"/>
  <c r="P74" i="64" s="1"/>
  <c r="L75" i="64"/>
  <c r="O75" i="64" s="1"/>
  <c r="P75" i="64" s="1"/>
  <c r="L76" i="64"/>
  <c r="O76" i="64" s="1"/>
  <c r="P76" i="64" s="1"/>
  <c r="L77" i="64"/>
  <c r="O77" i="64" s="1"/>
  <c r="P77" i="64" s="1"/>
  <c r="L78" i="64"/>
  <c r="O78" i="64" s="1"/>
  <c r="P78" i="64" s="1"/>
  <c r="L79" i="64"/>
  <c r="O79" i="64" s="1"/>
  <c r="P79" i="64" s="1"/>
  <c r="L80" i="64"/>
  <c r="O80" i="64" s="1"/>
  <c r="P80" i="64" s="1"/>
  <c r="L81" i="64"/>
  <c r="O81" i="64" s="1"/>
  <c r="P81" i="64" s="1"/>
  <c r="L82" i="64"/>
  <c r="O82" i="64" s="1"/>
  <c r="P82" i="64" s="1"/>
  <c r="L83" i="64"/>
  <c r="O83" i="64" s="1"/>
  <c r="P83" i="64" s="1"/>
  <c r="L84" i="64"/>
  <c r="O84" i="64" s="1"/>
  <c r="P84" i="64" s="1"/>
  <c r="L85" i="64"/>
  <c r="O85" i="64" s="1"/>
  <c r="P85" i="64" s="1"/>
  <c r="L86" i="64"/>
  <c r="O86" i="64" s="1"/>
  <c r="P86" i="64" s="1"/>
  <c r="L87" i="64"/>
  <c r="O87" i="64" s="1"/>
  <c r="P87" i="64" s="1"/>
  <c r="L88" i="64"/>
  <c r="O88" i="64" s="1"/>
  <c r="P88" i="64" s="1"/>
  <c r="L89" i="64"/>
  <c r="O89" i="64" s="1"/>
  <c r="P89" i="64" s="1"/>
  <c r="L90" i="64"/>
  <c r="O90" i="64" s="1"/>
  <c r="P90" i="64" s="1"/>
  <c r="L91" i="64"/>
  <c r="O91" i="64" s="1"/>
  <c r="P91" i="64" s="1"/>
  <c r="L92" i="64"/>
  <c r="O92" i="64" s="1"/>
  <c r="P92" i="64" s="1"/>
  <c r="L93" i="64"/>
  <c r="O93" i="64" s="1"/>
  <c r="P93" i="64" s="1"/>
  <c r="L94" i="64"/>
  <c r="O94" i="64" s="1"/>
  <c r="P94" i="64" s="1"/>
  <c r="L95" i="64"/>
  <c r="O95" i="64" s="1"/>
  <c r="P95" i="64" s="1"/>
  <c r="L96" i="64"/>
  <c r="O96" i="64" s="1"/>
  <c r="P96" i="64" s="1"/>
  <c r="L97" i="64"/>
  <c r="O97" i="64" s="1"/>
  <c r="P97" i="64" s="1"/>
  <c r="L98" i="64"/>
  <c r="O98" i="64" s="1"/>
  <c r="P98" i="64" s="1"/>
  <c r="L99" i="64"/>
  <c r="O99" i="64" s="1"/>
  <c r="P99" i="64" s="1"/>
  <c r="L100" i="64"/>
  <c r="O100" i="64" s="1"/>
  <c r="P100" i="64" s="1"/>
  <c r="L101" i="64"/>
  <c r="O101" i="64" s="1"/>
  <c r="P101" i="64" s="1"/>
  <c r="L102" i="64"/>
  <c r="O102" i="64" s="1"/>
  <c r="P102" i="64" s="1"/>
  <c r="L103" i="64"/>
  <c r="O103" i="64" s="1"/>
  <c r="P103" i="64" s="1"/>
  <c r="L104" i="64"/>
  <c r="O104" i="64" s="1"/>
  <c r="P104" i="64" s="1"/>
  <c r="L105" i="64"/>
  <c r="O105" i="64" s="1"/>
  <c r="P105" i="64" s="1"/>
  <c r="L106" i="64"/>
  <c r="O106" i="64" s="1"/>
  <c r="P106" i="64" s="1"/>
  <c r="L107" i="64"/>
  <c r="O107" i="64" s="1"/>
  <c r="P107" i="64" s="1"/>
  <c r="L108" i="64"/>
  <c r="O108" i="64" s="1"/>
  <c r="P108" i="64" s="1"/>
  <c r="L109" i="64"/>
  <c r="O109" i="64" s="1"/>
  <c r="P109" i="64" s="1"/>
  <c r="L110" i="64"/>
  <c r="O110" i="64" s="1"/>
  <c r="P110" i="64" s="1"/>
  <c r="L111" i="64"/>
  <c r="O111" i="64" s="1"/>
  <c r="P111" i="64" s="1"/>
  <c r="L112" i="64"/>
  <c r="O112" i="64" s="1"/>
  <c r="P112" i="64" s="1"/>
  <c r="L113" i="64"/>
  <c r="O113" i="64" s="1"/>
  <c r="P113" i="64" s="1"/>
  <c r="L114" i="64"/>
  <c r="O114" i="64" s="1"/>
  <c r="P114" i="64" s="1"/>
  <c r="L115" i="64"/>
  <c r="O115" i="64" s="1"/>
  <c r="P115" i="64" s="1"/>
  <c r="L116" i="64"/>
  <c r="O116" i="64" s="1"/>
  <c r="P116" i="64" s="1"/>
  <c r="L117" i="64"/>
  <c r="O117" i="64" s="1"/>
  <c r="P117" i="64" s="1"/>
  <c r="L118" i="64"/>
  <c r="O118" i="64" s="1"/>
  <c r="P118" i="64" s="1"/>
  <c r="L119" i="64"/>
  <c r="O119" i="64" s="1"/>
  <c r="P119" i="64" s="1"/>
  <c r="L120" i="64"/>
  <c r="O120" i="64" s="1"/>
  <c r="P120" i="64" s="1"/>
  <c r="L121" i="64"/>
  <c r="O121" i="64" s="1"/>
  <c r="P121" i="64" s="1"/>
  <c r="L122" i="64"/>
  <c r="O122" i="64" s="1"/>
  <c r="P122" i="64" s="1"/>
  <c r="L123" i="64"/>
  <c r="O123" i="64" s="1"/>
  <c r="P123" i="64" s="1"/>
  <c r="L124" i="64"/>
  <c r="O124" i="64" s="1"/>
  <c r="P124" i="64" s="1"/>
  <c r="L125" i="64"/>
  <c r="O125" i="64" s="1"/>
  <c r="P125" i="64" s="1"/>
  <c r="L126" i="64"/>
  <c r="O126" i="64" s="1"/>
  <c r="P126" i="64" s="1"/>
  <c r="L127" i="64"/>
  <c r="O127" i="64" s="1"/>
  <c r="P127" i="64" s="1"/>
  <c r="L128" i="64"/>
  <c r="O128" i="64" s="1"/>
  <c r="P128" i="64" s="1"/>
  <c r="L129" i="64"/>
  <c r="O129" i="64" s="1"/>
  <c r="P129" i="64" s="1"/>
  <c r="L130" i="64"/>
  <c r="O130" i="64" s="1"/>
  <c r="P130" i="64" s="1"/>
  <c r="L131" i="64"/>
  <c r="O131" i="64" s="1"/>
  <c r="P131" i="64" s="1"/>
  <c r="L132" i="64"/>
  <c r="O132" i="64" s="1"/>
  <c r="P132" i="64" s="1"/>
  <c r="L133" i="64"/>
  <c r="O133" i="64" s="1"/>
  <c r="P133" i="64" s="1"/>
  <c r="L134" i="64"/>
  <c r="O134" i="64" s="1"/>
  <c r="P134" i="64" s="1"/>
  <c r="L135" i="64"/>
  <c r="O135" i="64" s="1"/>
  <c r="P135" i="64" s="1"/>
  <c r="L136" i="64"/>
  <c r="O136" i="64" s="1"/>
  <c r="P136" i="64" s="1"/>
  <c r="L137" i="64"/>
  <c r="O137" i="64" s="1"/>
  <c r="P137" i="64" s="1"/>
  <c r="L138" i="64"/>
  <c r="O138" i="64" s="1"/>
  <c r="P138" i="64" s="1"/>
  <c r="L139" i="64"/>
  <c r="O139" i="64" s="1"/>
  <c r="P139" i="64" s="1"/>
  <c r="L140" i="64"/>
  <c r="O140" i="64" s="1"/>
  <c r="P140" i="64" s="1"/>
  <c r="L141" i="64"/>
  <c r="O141" i="64" s="1"/>
  <c r="P141" i="64" s="1"/>
  <c r="L142" i="64"/>
  <c r="O142" i="64" s="1"/>
  <c r="P142" i="64" s="1"/>
  <c r="L143" i="64"/>
  <c r="O143" i="64" s="1"/>
  <c r="P143" i="64" s="1"/>
  <c r="L144" i="64"/>
  <c r="O144" i="64" s="1"/>
  <c r="P144" i="64" s="1"/>
  <c r="L145" i="64"/>
  <c r="O145" i="64" s="1"/>
  <c r="P145" i="64" s="1"/>
  <c r="L146" i="64"/>
  <c r="O146" i="64" s="1"/>
  <c r="P146" i="64" s="1"/>
  <c r="L147" i="64"/>
  <c r="O147" i="64" s="1"/>
  <c r="P147" i="64" s="1"/>
  <c r="L148" i="64"/>
  <c r="O148" i="64" s="1"/>
  <c r="P148" i="64" s="1"/>
  <c r="L149" i="64"/>
  <c r="O149" i="64" s="1"/>
  <c r="P149" i="64" s="1"/>
  <c r="L150" i="64"/>
  <c r="O150" i="64" s="1"/>
  <c r="P150" i="64" s="1"/>
  <c r="L151" i="64"/>
  <c r="O151" i="64" s="1"/>
  <c r="P151" i="64" s="1"/>
  <c r="L152" i="64"/>
  <c r="O152" i="64" s="1"/>
  <c r="P152" i="64" s="1"/>
  <c r="L153" i="64"/>
  <c r="O153" i="64" s="1"/>
  <c r="P153" i="64" s="1"/>
  <c r="L154" i="64"/>
  <c r="O154" i="64" s="1"/>
  <c r="P154" i="64" s="1"/>
  <c r="L155" i="64"/>
  <c r="O155" i="64" s="1"/>
  <c r="P155" i="64" s="1"/>
  <c r="L156" i="64"/>
  <c r="O156" i="64" s="1"/>
  <c r="P156" i="64" s="1"/>
  <c r="L157" i="64"/>
  <c r="O157" i="64" s="1"/>
  <c r="P157" i="64" s="1"/>
  <c r="L158" i="64"/>
  <c r="O158" i="64" s="1"/>
  <c r="P158" i="64" s="1"/>
  <c r="L159" i="64"/>
  <c r="O159" i="64" s="1"/>
  <c r="P159" i="64" s="1"/>
  <c r="L160" i="64"/>
  <c r="O160" i="64" s="1"/>
  <c r="P160" i="64" s="1"/>
  <c r="L161" i="64"/>
  <c r="O161" i="64" s="1"/>
  <c r="P161" i="64" s="1"/>
  <c r="L162" i="64"/>
  <c r="O162" i="64" s="1"/>
  <c r="P162" i="64" s="1"/>
  <c r="L163" i="64"/>
  <c r="O163" i="64" s="1"/>
  <c r="P163" i="64" s="1"/>
  <c r="L164" i="64"/>
  <c r="O164" i="64" s="1"/>
  <c r="P164" i="64" s="1"/>
  <c r="L165" i="64"/>
  <c r="O165" i="64" s="1"/>
  <c r="P165" i="64" s="1"/>
  <c r="L166" i="64"/>
  <c r="O166" i="64" s="1"/>
  <c r="P166" i="64" s="1"/>
  <c r="L167" i="64"/>
  <c r="O167" i="64" s="1"/>
  <c r="P167" i="64" s="1"/>
  <c r="L168" i="64"/>
  <c r="O168" i="64" s="1"/>
  <c r="P168" i="64" s="1"/>
  <c r="L169" i="64"/>
  <c r="O169" i="64" s="1"/>
  <c r="P169" i="64" s="1"/>
  <c r="L170" i="64"/>
  <c r="O170" i="64" s="1"/>
  <c r="P170" i="64" s="1"/>
  <c r="L171" i="64"/>
  <c r="O171" i="64" s="1"/>
  <c r="P171" i="64" s="1"/>
  <c r="L172" i="64"/>
  <c r="O172" i="64" s="1"/>
  <c r="P172" i="64" s="1"/>
  <c r="L173" i="64"/>
  <c r="O173" i="64" s="1"/>
  <c r="P173" i="64" s="1"/>
  <c r="L174" i="64"/>
  <c r="O174" i="64" s="1"/>
  <c r="P174" i="64" s="1"/>
  <c r="L175" i="64"/>
  <c r="O175" i="64" s="1"/>
  <c r="P175" i="64" s="1"/>
  <c r="L176" i="64"/>
  <c r="O176" i="64" s="1"/>
  <c r="P176" i="64" s="1"/>
  <c r="L177" i="64"/>
  <c r="O177" i="64" s="1"/>
  <c r="P177" i="64" s="1"/>
  <c r="L178" i="64"/>
  <c r="O178" i="64" s="1"/>
  <c r="P178" i="64" s="1"/>
  <c r="L179" i="64"/>
  <c r="O179" i="64" s="1"/>
  <c r="P179" i="64" s="1"/>
  <c r="L180" i="64"/>
  <c r="O180" i="64" s="1"/>
  <c r="P180" i="64" s="1"/>
  <c r="L181" i="64"/>
  <c r="O181" i="64" s="1"/>
  <c r="P181" i="64" s="1"/>
  <c r="L182" i="64"/>
  <c r="O182" i="64" s="1"/>
  <c r="P182" i="64" s="1"/>
  <c r="L183" i="64"/>
  <c r="O183" i="64" s="1"/>
  <c r="P183" i="64" s="1"/>
  <c r="L184" i="64"/>
  <c r="O184" i="64" s="1"/>
  <c r="P184" i="64" s="1"/>
  <c r="L185" i="64"/>
  <c r="O185" i="64" s="1"/>
  <c r="P185" i="64" s="1"/>
  <c r="L186" i="64"/>
  <c r="O186" i="64" s="1"/>
  <c r="P186" i="64" s="1"/>
  <c r="L187" i="64"/>
  <c r="O187" i="64" s="1"/>
  <c r="P187" i="64" s="1"/>
  <c r="L188" i="64"/>
  <c r="O188" i="64" s="1"/>
  <c r="P188" i="64" s="1"/>
  <c r="L189" i="64"/>
  <c r="O189" i="64" s="1"/>
  <c r="P189" i="64" s="1"/>
  <c r="L190" i="64"/>
  <c r="O190" i="64" s="1"/>
  <c r="P190" i="64" s="1"/>
  <c r="L191" i="64"/>
  <c r="O191" i="64" s="1"/>
  <c r="P191" i="64" s="1"/>
  <c r="L192" i="64"/>
  <c r="O192" i="64" s="1"/>
  <c r="P192" i="64" s="1"/>
  <c r="L193" i="64"/>
  <c r="O193" i="64" s="1"/>
  <c r="P193" i="64" s="1"/>
  <c r="L194" i="64"/>
  <c r="O194" i="64" s="1"/>
  <c r="P194" i="64" s="1"/>
  <c r="L195" i="64"/>
  <c r="O195" i="64" s="1"/>
  <c r="P195" i="64" s="1"/>
  <c r="L196" i="64"/>
  <c r="O196" i="64" s="1"/>
  <c r="P196" i="64" s="1"/>
  <c r="L197" i="64"/>
  <c r="O197" i="64" s="1"/>
  <c r="P197" i="64" s="1"/>
  <c r="L198" i="64"/>
  <c r="O198" i="64" s="1"/>
  <c r="P198" i="64" s="1"/>
  <c r="L199" i="64"/>
  <c r="O199" i="64" s="1"/>
  <c r="P199" i="64" s="1"/>
  <c r="L200" i="64"/>
  <c r="O200" i="64" s="1"/>
  <c r="P200" i="64" s="1"/>
  <c r="L201" i="64"/>
  <c r="O201" i="64" s="1"/>
  <c r="P201" i="64" s="1"/>
  <c r="L202" i="64"/>
  <c r="O202" i="64" s="1"/>
  <c r="P202" i="64" s="1"/>
  <c r="L203" i="64"/>
  <c r="O203" i="64" s="1"/>
  <c r="P203" i="64" s="1"/>
  <c r="L204" i="64"/>
  <c r="O204" i="64" s="1"/>
  <c r="P204" i="64" s="1"/>
  <c r="L205" i="64"/>
  <c r="O205" i="64" s="1"/>
  <c r="P205" i="64" s="1"/>
  <c r="L206" i="64"/>
  <c r="O206" i="64" s="1"/>
  <c r="P206" i="64" s="1"/>
  <c r="L207" i="64"/>
  <c r="O207" i="64" s="1"/>
  <c r="P207" i="64" s="1"/>
  <c r="L208" i="64"/>
  <c r="O208" i="64" s="1"/>
  <c r="P208" i="64" s="1"/>
  <c r="L209" i="64"/>
  <c r="O209" i="64" s="1"/>
  <c r="P209" i="64" s="1"/>
  <c r="L210" i="64"/>
  <c r="O210" i="64" s="1"/>
  <c r="P210" i="64" s="1"/>
  <c r="L211" i="64"/>
  <c r="O211" i="64" s="1"/>
  <c r="P211" i="64" s="1"/>
  <c r="L212" i="64"/>
  <c r="O212" i="64" s="1"/>
  <c r="P212" i="64" s="1"/>
  <c r="L213" i="64"/>
  <c r="O213" i="64" s="1"/>
  <c r="P213" i="64" s="1"/>
  <c r="L214" i="64"/>
  <c r="O214" i="64" s="1"/>
  <c r="P214" i="64" s="1"/>
  <c r="L215" i="64"/>
  <c r="O215" i="64" s="1"/>
  <c r="P215" i="64" s="1"/>
  <c r="L216" i="64"/>
  <c r="O216" i="64" s="1"/>
  <c r="P216" i="64" s="1"/>
  <c r="L217" i="64"/>
  <c r="O217" i="64" s="1"/>
  <c r="P217" i="64" s="1"/>
  <c r="L218" i="64"/>
  <c r="O218" i="64" s="1"/>
  <c r="P218" i="64" s="1"/>
  <c r="L219" i="64"/>
  <c r="O219" i="64" s="1"/>
  <c r="P219" i="64" s="1"/>
  <c r="L220" i="64"/>
  <c r="O220" i="64" s="1"/>
  <c r="P220" i="64" s="1"/>
  <c r="L221" i="64"/>
  <c r="O221" i="64" s="1"/>
  <c r="P221" i="64" s="1"/>
  <c r="L222" i="64"/>
  <c r="O222" i="64" s="1"/>
  <c r="P222" i="64" s="1"/>
  <c r="L223" i="64"/>
  <c r="O223" i="64" s="1"/>
  <c r="P223" i="64" s="1"/>
  <c r="L224" i="64"/>
  <c r="O224" i="64" s="1"/>
  <c r="P224" i="64" s="1"/>
  <c r="L225" i="64"/>
  <c r="O225" i="64" s="1"/>
  <c r="P225" i="64" s="1"/>
  <c r="L226" i="64"/>
  <c r="O226" i="64" s="1"/>
  <c r="P226" i="64" s="1"/>
  <c r="L227" i="64"/>
  <c r="O227" i="64" s="1"/>
  <c r="P227" i="64" s="1"/>
  <c r="L228" i="64"/>
  <c r="O228" i="64" s="1"/>
  <c r="P228" i="64" s="1"/>
  <c r="L229" i="64"/>
  <c r="O229" i="64" s="1"/>
  <c r="P229" i="64" s="1"/>
  <c r="L230" i="64"/>
  <c r="O230" i="64" s="1"/>
  <c r="P230" i="64" s="1"/>
  <c r="L231" i="64"/>
  <c r="O231" i="64" s="1"/>
  <c r="P231" i="64" s="1"/>
  <c r="L232" i="64"/>
  <c r="O232" i="64" s="1"/>
  <c r="P232" i="64" s="1"/>
  <c r="L233" i="64"/>
  <c r="O233" i="64" s="1"/>
  <c r="P233" i="64" s="1"/>
  <c r="L234" i="64"/>
  <c r="O234" i="64" s="1"/>
  <c r="P234" i="64" s="1"/>
  <c r="L235" i="64"/>
  <c r="O235" i="64" s="1"/>
  <c r="P235" i="64" s="1"/>
  <c r="L236" i="64"/>
  <c r="O236" i="64" s="1"/>
  <c r="P236" i="64" s="1"/>
  <c r="L237" i="64"/>
  <c r="O237" i="64" s="1"/>
  <c r="P237" i="64" s="1"/>
  <c r="L238" i="64"/>
  <c r="O238" i="64" s="1"/>
  <c r="P238" i="64" s="1"/>
  <c r="L239" i="64"/>
  <c r="O239" i="64" s="1"/>
  <c r="P239" i="64" s="1"/>
  <c r="L240" i="64"/>
  <c r="O240" i="64" s="1"/>
  <c r="P240" i="64" s="1"/>
  <c r="L241" i="64"/>
  <c r="O241" i="64" s="1"/>
  <c r="P241" i="64" s="1"/>
  <c r="L242" i="64"/>
  <c r="O242" i="64" s="1"/>
  <c r="P242" i="64" s="1"/>
  <c r="L243" i="64"/>
  <c r="O243" i="64" s="1"/>
  <c r="P243" i="64" s="1"/>
  <c r="L244" i="64"/>
  <c r="O244" i="64" s="1"/>
  <c r="P244" i="64" s="1"/>
  <c r="L245" i="64"/>
  <c r="O245" i="64" s="1"/>
  <c r="P245" i="64" s="1"/>
  <c r="L246" i="64"/>
  <c r="O246" i="64" s="1"/>
  <c r="P246" i="64" s="1"/>
  <c r="L247" i="64"/>
  <c r="O247" i="64" s="1"/>
  <c r="P247" i="64" s="1"/>
  <c r="L248" i="64"/>
  <c r="O248" i="64" s="1"/>
  <c r="P248" i="64" s="1"/>
  <c r="L249" i="64"/>
  <c r="O249" i="64" s="1"/>
  <c r="P249" i="64" s="1"/>
  <c r="L250" i="64"/>
  <c r="O250" i="64" s="1"/>
  <c r="P250" i="64" s="1"/>
  <c r="L251" i="64"/>
  <c r="O251" i="64" s="1"/>
  <c r="P251" i="64" s="1"/>
  <c r="L252" i="64"/>
  <c r="O252" i="64" s="1"/>
  <c r="P252" i="64" s="1"/>
  <c r="L253" i="64"/>
  <c r="O253" i="64" s="1"/>
  <c r="P253" i="64" s="1"/>
  <c r="L254" i="64"/>
  <c r="O254" i="64" s="1"/>
  <c r="P254" i="64" s="1"/>
  <c r="L255" i="64"/>
  <c r="O255" i="64" s="1"/>
  <c r="P255" i="64" s="1"/>
  <c r="L256" i="64"/>
  <c r="O256" i="64" s="1"/>
  <c r="P256" i="64" s="1"/>
  <c r="L257" i="64"/>
  <c r="O257" i="64" s="1"/>
  <c r="P257" i="64" s="1"/>
  <c r="E13" i="68"/>
  <c r="F13" i="68" s="1"/>
  <c r="H13" i="68"/>
  <c r="E14" i="68"/>
  <c r="F14" i="68" s="1"/>
  <c r="H14" i="68"/>
  <c r="E15" i="68"/>
  <c r="F15" i="68" s="1"/>
  <c r="H15" i="68"/>
  <c r="E16" i="68"/>
  <c r="F16" i="68" s="1"/>
  <c r="H16" i="68"/>
  <c r="E17" i="68"/>
  <c r="F17" i="68" s="1"/>
  <c r="H17" i="68"/>
  <c r="E18" i="68"/>
  <c r="F18" i="68" s="1"/>
  <c r="H18" i="68"/>
  <c r="E19" i="68"/>
  <c r="F19" i="68" s="1"/>
  <c r="H19" i="68"/>
  <c r="E20" i="68"/>
  <c r="F20" i="68" s="1"/>
  <c r="H20" i="68"/>
  <c r="E21" i="68"/>
  <c r="F21" i="68" s="1"/>
  <c r="H21" i="68"/>
  <c r="E22" i="68"/>
  <c r="F22" i="68" s="1"/>
  <c r="H22" i="68"/>
  <c r="E23" i="68"/>
  <c r="F23" i="68" s="1"/>
  <c r="H23" i="68"/>
  <c r="E24" i="68"/>
  <c r="F24" i="68" s="1"/>
  <c r="H24" i="68"/>
  <c r="E25" i="68"/>
  <c r="F25" i="68" s="1"/>
  <c r="H25" i="68"/>
  <c r="E26" i="68"/>
  <c r="F26" i="68" s="1"/>
  <c r="H26" i="68"/>
  <c r="E27" i="68"/>
  <c r="F27" i="68" s="1"/>
  <c r="H27" i="68"/>
  <c r="E28" i="68"/>
  <c r="F28" i="68" s="1"/>
  <c r="H28" i="68"/>
  <c r="E29" i="68"/>
  <c r="F29" i="68" s="1"/>
  <c r="H29" i="68"/>
  <c r="E30" i="68"/>
  <c r="F30" i="68" s="1"/>
  <c r="H30" i="68"/>
  <c r="E31" i="68"/>
  <c r="F31" i="68" s="1"/>
  <c r="H31" i="68"/>
  <c r="E32" i="68"/>
  <c r="F32" i="68" s="1"/>
  <c r="H32" i="68"/>
  <c r="E33" i="68"/>
  <c r="F33" i="68" s="1"/>
  <c r="H33" i="68"/>
  <c r="E34" i="68"/>
  <c r="F34" i="68" s="1"/>
  <c r="H34" i="68"/>
  <c r="E35" i="68"/>
  <c r="F35" i="68" s="1"/>
  <c r="H35" i="68"/>
  <c r="E36" i="68"/>
  <c r="F36" i="68" s="1"/>
  <c r="H36" i="68"/>
  <c r="E37" i="68"/>
  <c r="F37" i="68" s="1"/>
  <c r="H37" i="68"/>
  <c r="E38" i="68"/>
  <c r="F38" i="68" s="1"/>
  <c r="H38" i="68"/>
  <c r="E39" i="68"/>
  <c r="F39" i="68" s="1"/>
  <c r="H39" i="68"/>
  <c r="E40" i="68"/>
  <c r="F40" i="68" s="1"/>
  <c r="H40" i="68"/>
  <c r="E41" i="68"/>
  <c r="F41" i="68" s="1"/>
  <c r="H41" i="68"/>
  <c r="E42" i="68"/>
  <c r="F42" i="68" s="1"/>
  <c r="H42" i="68"/>
  <c r="E43" i="68"/>
  <c r="F43" i="68" s="1"/>
  <c r="H43" i="68"/>
  <c r="E44" i="68"/>
  <c r="F44" i="68" s="1"/>
  <c r="H44" i="68"/>
  <c r="E45" i="68"/>
  <c r="F45" i="68" s="1"/>
  <c r="H45" i="68"/>
  <c r="E46" i="68"/>
  <c r="F46" i="68" s="1"/>
  <c r="H46" i="68"/>
  <c r="E47" i="68"/>
  <c r="F47" i="68" s="1"/>
  <c r="H47" i="68"/>
  <c r="E48" i="68"/>
  <c r="F48" i="68" s="1"/>
  <c r="H48" i="68"/>
  <c r="E49" i="68"/>
  <c r="F49" i="68" s="1"/>
  <c r="H49" i="68"/>
  <c r="E50" i="68"/>
  <c r="F50" i="68" s="1"/>
  <c r="H50" i="68"/>
  <c r="E51" i="68"/>
  <c r="F51" i="68" s="1"/>
  <c r="H51" i="68"/>
  <c r="E52" i="68"/>
  <c r="F52" i="68" s="1"/>
  <c r="H52" i="68"/>
  <c r="E53" i="68"/>
  <c r="F53" i="68" s="1"/>
  <c r="H53" i="68"/>
  <c r="E54" i="68"/>
  <c r="F54" i="68" s="1"/>
  <c r="H54" i="68"/>
  <c r="E55" i="68"/>
  <c r="F55" i="68" s="1"/>
  <c r="H55" i="68"/>
  <c r="E56" i="68"/>
  <c r="F56" i="68" s="1"/>
  <c r="H56" i="68"/>
  <c r="E57" i="68"/>
  <c r="F57" i="68" s="1"/>
  <c r="H57" i="68"/>
  <c r="E58" i="68"/>
  <c r="F58" i="68" s="1"/>
  <c r="H58" i="68"/>
  <c r="E59" i="68"/>
  <c r="F59" i="68" s="1"/>
  <c r="H59" i="68"/>
  <c r="E60" i="68"/>
  <c r="F60" i="68" s="1"/>
  <c r="H60" i="68"/>
  <c r="E61" i="68"/>
  <c r="F61" i="68" s="1"/>
  <c r="H61" i="68"/>
  <c r="E62" i="68"/>
  <c r="F62" i="68" s="1"/>
  <c r="H62" i="68"/>
  <c r="E63" i="68"/>
  <c r="F63" i="68" s="1"/>
  <c r="H63" i="68"/>
  <c r="E64" i="68"/>
  <c r="F64" i="68" s="1"/>
  <c r="H64" i="68"/>
  <c r="E65" i="68"/>
  <c r="F65" i="68" s="1"/>
  <c r="H65" i="68"/>
  <c r="E66" i="68"/>
  <c r="F66" i="68" s="1"/>
  <c r="H66" i="68"/>
  <c r="E67" i="68"/>
  <c r="F67" i="68" s="1"/>
  <c r="H67" i="68"/>
  <c r="E68" i="68"/>
  <c r="F68" i="68" s="1"/>
  <c r="H68" i="68"/>
  <c r="E69" i="68"/>
  <c r="F69" i="68" s="1"/>
  <c r="H69" i="68"/>
  <c r="E70" i="68"/>
  <c r="F70" i="68" s="1"/>
  <c r="H70" i="68"/>
  <c r="E71" i="68"/>
  <c r="F71" i="68" s="1"/>
  <c r="H71" i="68"/>
  <c r="E72" i="68"/>
  <c r="F72" i="68" s="1"/>
  <c r="H72" i="68"/>
  <c r="E73" i="68"/>
  <c r="F73" i="68" s="1"/>
  <c r="H73" i="68"/>
  <c r="E74" i="68"/>
  <c r="F74" i="68" s="1"/>
  <c r="H74" i="68"/>
  <c r="E75" i="68"/>
  <c r="F75" i="68" s="1"/>
  <c r="H75" i="68"/>
  <c r="E76" i="68"/>
  <c r="F76" i="68" s="1"/>
  <c r="H76" i="68"/>
  <c r="E77" i="68"/>
  <c r="F77" i="68" s="1"/>
  <c r="H77" i="68"/>
  <c r="E78" i="68"/>
  <c r="F78" i="68" s="1"/>
  <c r="H78" i="68"/>
  <c r="E79" i="68"/>
  <c r="F79" i="68" s="1"/>
  <c r="H79" i="68"/>
  <c r="E80" i="68"/>
  <c r="F80" i="68" s="1"/>
  <c r="H80" i="68"/>
  <c r="E81" i="68"/>
  <c r="F81" i="68" s="1"/>
  <c r="H81" i="68"/>
  <c r="E82" i="68"/>
  <c r="F82" i="68" s="1"/>
  <c r="H82" i="68"/>
  <c r="E83" i="68"/>
  <c r="F83" i="68" s="1"/>
  <c r="H83" i="68"/>
  <c r="E84" i="68"/>
  <c r="F84" i="68" s="1"/>
  <c r="H84" i="68"/>
  <c r="E85" i="68"/>
  <c r="F85" i="68" s="1"/>
  <c r="H85" i="68"/>
  <c r="E86" i="68"/>
  <c r="F86" i="68" s="1"/>
  <c r="H86" i="68"/>
  <c r="E87" i="68"/>
  <c r="F87" i="68" s="1"/>
  <c r="H87" i="68"/>
  <c r="E88" i="68"/>
  <c r="F88" i="68" s="1"/>
  <c r="H88" i="68"/>
  <c r="E89" i="68"/>
  <c r="F89" i="68" s="1"/>
  <c r="H89" i="68"/>
  <c r="E90" i="68"/>
  <c r="F90" i="68" s="1"/>
  <c r="H90" i="68"/>
  <c r="E91" i="68"/>
  <c r="F91" i="68" s="1"/>
  <c r="H91" i="68"/>
  <c r="E92" i="68"/>
  <c r="F92" i="68" s="1"/>
  <c r="H92" i="68"/>
  <c r="E93" i="68"/>
  <c r="F93" i="68" s="1"/>
  <c r="H93" i="68"/>
  <c r="E94" i="68"/>
  <c r="F94" i="68" s="1"/>
  <c r="H94" i="68"/>
  <c r="E95" i="68"/>
  <c r="F95" i="68" s="1"/>
  <c r="H95" i="68"/>
  <c r="E96" i="68"/>
  <c r="F96" i="68" s="1"/>
  <c r="H96" i="68"/>
  <c r="E97" i="68"/>
  <c r="F97" i="68" s="1"/>
  <c r="H97" i="68"/>
  <c r="E98" i="68"/>
  <c r="F98" i="68" s="1"/>
  <c r="H98" i="68"/>
  <c r="E99" i="68"/>
  <c r="F99" i="68" s="1"/>
  <c r="H99" i="68"/>
  <c r="E100" i="68"/>
  <c r="F100" i="68" s="1"/>
  <c r="H100" i="68"/>
  <c r="E101" i="68"/>
  <c r="F101" i="68" s="1"/>
  <c r="H101" i="68"/>
  <c r="E102" i="68"/>
  <c r="F102" i="68" s="1"/>
  <c r="H102" i="68"/>
  <c r="E103" i="68"/>
  <c r="F103" i="68" s="1"/>
  <c r="H103" i="68"/>
  <c r="E104" i="68"/>
  <c r="F104" i="68" s="1"/>
  <c r="H104" i="68"/>
  <c r="E105" i="68"/>
  <c r="F105" i="68" s="1"/>
  <c r="H105" i="68"/>
  <c r="E106" i="68"/>
  <c r="F106" i="68" s="1"/>
  <c r="H106" i="68"/>
  <c r="E107" i="68"/>
  <c r="F107" i="68" s="1"/>
  <c r="H107" i="68"/>
  <c r="E108" i="68"/>
  <c r="F108" i="68" s="1"/>
  <c r="H108" i="68"/>
  <c r="E109" i="68"/>
  <c r="F109" i="68" s="1"/>
  <c r="H109" i="68"/>
  <c r="E110" i="68"/>
  <c r="F110" i="68" s="1"/>
  <c r="H110" i="68"/>
  <c r="E111" i="68"/>
  <c r="F111" i="68" s="1"/>
  <c r="H111" i="68"/>
  <c r="E112" i="68"/>
  <c r="F112" i="68" s="1"/>
  <c r="H112" i="68"/>
  <c r="E113" i="68"/>
  <c r="F113" i="68" s="1"/>
  <c r="H113" i="68"/>
  <c r="E114" i="68"/>
  <c r="F114" i="68" s="1"/>
  <c r="H114" i="68"/>
  <c r="E115" i="68"/>
  <c r="F115" i="68" s="1"/>
  <c r="H115" i="68"/>
  <c r="E116" i="68"/>
  <c r="F116" i="68" s="1"/>
  <c r="H116" i="68"/>
  <c r="E117" i="68"/>
  <c r="F117" i="68" s="1"/>
  <c r="H117" i="68"/>
  <c r="E118" i="68"/>
  <c r="F118" i="68" s="1"/>
  <c r="H118" i="68"/>
  <c r="E119" i="68"/>
  <c r="F119" i="68" s="1"/>
  <c r="H119" i="68"/>
  <c r="E120" i="68"/>
  <c r="F120" i="68" s="1"/>
  <c r="H120" i="68"/>
  <c r="E121" i="68"/>
  <c r="F121" i="68" s="1"/>
  <c r="H121" i="68"/>
  <c r="E122" i="68"/>
  <c r="F122" i="68" s="1"/>
  <c r="H122" i="68"/>
  <c r="E123" i="68"/>
  <c r="F123" i="68" s="1"/>
  <c r="H123" i="68"/>
  <c r="E124" i="68"/>
  <c r="F124" i="68" s="1"/>
  <c r="H124" i="68"/>
  <c r="E125" i="68"/>
  <c r="F125" i="68" s="1"/>
  <c r="H125" i="68"/>
  <c r="E126" i="68"/>
  <c r="F126" i="68" s="1"/>
  <c r="H126" i="68"/>
  <c r="E127" i="68"/>
  <c r="F127" i="68" s="1"/>
  <c r="H127" i="68"/>
  <c r="E128" i="68"/>
  <c r="F128" i="68" s="1"/>
  <c r="H128" i="68"/>
  <c r="E129" i="68"/>
  <c r="F129" i="68" s="1"/>
  <c r="H129" i="68"/>
  <c r="E130" i="68"/>
  <c r="F130" i="68" s="1"/>
  <c r="H130" i="68"/>
  <c r="E131" i="68"/>
  <c r="F131" i="68" s="1"/>
  <c r="H131" i="68"/>
  <c r="E132" i="68"/>
  <c r="F132" i="68" s="1"/>
  <c r="H132" i="68"/>
  <c r="E133" i="68"/>
  <c r="F133" i="68" s="1"/>
  <c r="H133" i="68"/>
  <c r="E134" i="68"/>
  <c r="F134" i="68" s="1"/>
  <c r="H134" i="68"/>
  <c r="E135" i="68"/>
  <c r="F135" i="68" s="1"/>
  <c r="H135" i="68"/>
  <c r="E136" i="68"/>
  <c r="F136" i="68" s="1"/>
  <c r="H136" i="68"/>
  <c r="E137" i="68"/>
  <c r="F137" i="68" s="1"/>
  <c r="H137" i="68"/>
  <c r="E138" i="68"/>
  <c r="F138" i="68" s="1"/>
  <c r="H138" i="68"/>
  <c r="E139" i="68"/>
  <c r="F139" i="68" s="1"/>
  <c r="H139" i="68"/>
  <c r="E140" i="68"/>
  <c r="F140" i="68" s="1"/>
  <c r="H140" i="68"/>
  <c r="E141" i="68"/>
  <c r="F141" i="68" s="1"/>
  <c r="H141" i="68"/>
  <c r="E142" i="68"/>
  <c r="F142" i="68" s="1"/>
  <c r="H142" i="68"/>
  <c r="E143" i="68"/>
  <c r="F143" i="68" s="1"/>
  <c r="H143" i="68"/>
  <c r="E144" i="68"/>
  <c r="F144" i="68" s="1"/>
  <c r="H144" i="68"/>
  <c r="E145" i="68"/>
  <c r="F145" i="68" s="1"/>
  <c r="H145" i="68"/>
  <c r="E146" i="68"/>
  <c r="F146" i="68" s="1"/>
  <c r="H146" i="68"/>
  <c r="E147" i="68"/>
  <c r="F147" i="68" s="1"/>
  <c r="H147" i="68"/>
  <c r="E148" i="68"/>
  <c r="F148" i="68" s="1"/>
  <c r="H148" i="68"/>
  <c r="E149" i="68"/>
  <c r="F149" i="68" s="1"/>
  <c r="H149" i="68"/>
  <c r="E150" i="68"/>
  <c r="F150" i="68" s="1"/>
  <c r="H150" i="68"/>
  <c r="E151" i="68"/>
  <c r="F151" i="68" s="1"/>
  <c r="H151" i="68"/>
  <c r="E152" i="68"/>
  <c r="F152" i="68" s="1"/>
  <c r="H152" i="68"/>
  <c r="E153" i="68"/>
  <c r="F153" i="68" s="1"/>
  <c r="H153" i="68"/>
  <c r="E154" i="68"/>
  <c r="F154" i="68" s="1"/>
  <c r="H154" i="68"/>
  <c r="E155" i="68"/>
  <c r="F155" i="68" s="1"/>
  <c r="H155" i="68"/>
  <c r="E156" i="68"/>
  <c r="F156" i="68" s="1"/>
  <c r="H156" i="68"/>
  <c r="E157" i="68"/>
  <c r="F157" i="68" s="1"/>
  <c r="H157" i="68"/>
  <c r="E158" i="68"/>
  <c r="F158" i="68" s="1"/>
  <c r="H158" i="68"/>
  <c r="E159" i="68"/>
  <c r="F159" i="68" s="1"/>
  <c r="H159" i="68"/>
  <c r="E160" i="68"/>
  <c r="F160" i="68" s="1"/>
  <c r="H160" i="68"/>
  <c r="E161" i="68"/>
  <c r="F161" i="68" s="1"/>
  <c r="H161" i="68"/>
  <c r="E162" i="68"/>
  <c r="F162" i="68" s="1"/>
  <c r="H162" i="68"/>
  <c r="E163" i="68"/>
  <c r="F163" i="68" s="1"/>
  <c r="H163" i="68"/>
  <c r="E164" i="68"/>
  <c r="F164" i="68" s="1"/>
  <c r="H164" i="68"/>
  <c r="E165" i="68"/>
  <c r="F165" i="68" s="1"/>
  <c r="H165" i="68"/>
  <c r="E166" i="68"/>
  <c r="F166" i="68" s="1"/>
  <c r="H166" i="68"/>
  <c r="E167" i="68"/>
  <c r="F167" i="68" s="1"/>
  <c r="H167" i="68"/>
  <c r="E168" i="68"/>
  <c r="F168" i="68" s="1"/>
  <c r="H168" i="68"/>
  <c r="E169" i="68"/>
  <c r="F169" i="68" s="1"/>
  <c r="H169" i="68"/>
  <c r="E170" i="68"/>
  <c r="F170" i="68" s="1"/>
  <c r="H170" i="68"/>
  <c r="E171" i="68"/>
  <c r="F171" i="68" s="1"/>
  <c r="H171" i="68"/>
  <c r="E172" i="68"/>
  <c r="F172" i="68" s="1"/>
  <c r="H172" i="68"/>
  <c r="E173" i="68"/>
  <c r="F173" i="68" s="1"/>
  <c r="H173" i="68"/>
  <c r="E174" i="68"/>
  <c r="F174" i="68" s="1"/>
  <c r="H174" i="68"/>
  <c r="E175" i="68"/>
  <c r="F175" i="68" s="1"/>
  <c r="H175" i="68"/>
  <c r="E176" i="68"/>
  <c r="F176" i="68" s="1"/>
  <c r="H176" i="68"/>
  <c r="E177" i="68"/>
  <c r="F177" i="68" s="1"/>
  <c r="H177" i="68"/>
  <c r="E178" i="68"/>
  <c r="F178" i="68" s="1"/>
  <c r="H178" i="68"/>
  <c r="E179" i="68"/>
  <c r="F179" i="68" s="1"/>
  <c r="H179" i="68"/>
  <c r="E180" i="68"/>
  <c r="F180" i="68" s="1"/>
  <c r="H180" i="68"/>
  <c r="E181" i="68"/>
  <c r="F181" i="68" s="1"/>
  <c r="H181" i="68"/>
  <c r="E182" i="68"/>
  <c r="F182" i="68" s="1"/>
  <c r="H182" i="68"/>
  <c r="E183" i="68"/>
  <c r="F183" i="68" s="1"/>
  <c r="H183" i="68"/>
  <c r="E184" i="68"/>
  <c r="F184" i="68" s="1"/>
  <c r="H184" i="68"/>
  <c r="E185" i="68"/>
  <c r="F185" i="68" s="1"/>
  <c r="H185" i="68"/>
  <c r="E186" i="68"/>
  <c r="F186" i="68" s="1"/>
  <c r="H186" i="68"/>
  <c r="E187" i="68"/>
  <c r="F187" i="68" s="1"/>
  <c r="H187" i="68"/>
  <c r="E188" i="68"/>
  <c r="F188" i="68" s="1"/>
  <c r="H188" i="68"/>
  <c r="E189" i="68"/>
  <c r="F189" i="68" s="1"/>
  <c r="H189" i="68"/>
  <c r="E190" i="68"/>
  <c r="F190" i="68" s="1"/>
  <c r="H190" i="68"/>
  <c r="E191" i="68"/>
  <c r="F191" i="68" s="1"/>
  <c r="H191" i="68"/>
  <c r="E192" i="68"/>
  <c r="F192" i="68" s="1"/>
  <c r="H192" i="68"/>
  <c r="E193" i="68"/>
  <c r="F193" i="68" s="1"/>
  <c r="H193" i="68"/>
  <c r="E194" i="68"/>
  <c r="F194" i="68" s="1"/>
  <c r="H194" i="68"/>
  <c r="E195" i="68"/>
  <c r="F195" i="68" s="1"/>
  <c r="H195" i="68"/>
  <c r="E196" i="68"/>
  <c r="F196" i="68" s="1"/>
  <c r="H196" i="68"/>
  <c r="E197" i="68"/>
  <c r="F197" i="68" s="1"/>
  <c r="H197" i="68"/>
  <c r="E198" i="68"/>
  <c r="F198" i="68" s="1"/>
  <c r="H198" i="68"/>
  <c r="E199" i="68"/>
  <c r="F199" i="68" s="1"/>
  <c r="H199" i="68"/>
  <c r="E200" i="68"/>
  <c r="F200" i="68" s="1"/>
  <c r="H200" i="68"/>
  <c r="E201" i="68"/>
  <c r="F201" i="68" s="1"/>
  <c r="H201" i="68"/>
  <c r="E202" i="68"/>
  <c r="F202" i="68" s="1"/>
  <c r="H202" i="68"/>
  <c r="E203" i="68"/>
  <c r="F203" i="68" s="1"/>
  <c r="H203" i="68"/>
  <c r="E204" i="68"/>
  <c r="F204" i="68" s="1"/>
  <c r="H204" i="68"/>
  <c r="E205" i="68"/>
  <c r="F205" i="68" s="1"/>
  <c r="H205" i="68"/>
  <c r="E206" i="68"/>
  <c r="F206" i="68" s="1"/>
  <c r="H206" i="68"/>
  <c r="E207" i="68"/>
  <c r="F207" i="68" s="1"/>
  <c r="H207" i="68"/>
  <c r="E208" i="68"/>
  <c r="F208" i="68" s="1"/>
  <c r="H208" i="68"/>
  <c r="E209" i="68"/>
  <c r="F209" i="68" s="1"/>
  <c r="H209" i="68"/>
  <c r="E210" i="68"/>
  <c r="F210" i="68" s="1"/>
  <c r="H210" i="68"/>
  <c r="E211" i="68"/>
  <c r="F211" i="68" s="1"/>
  <c r="H211" i="68"/>
  <c r="E212" i="68"/>
  <c r="F212" i="68" s="1"/>
  <c r="H212" i="68"/>
  <c r="E213" i="68"/>
  <c r="F213" i="68" s="1"/>
  <c r="H213" i="68"/>
  <c r="E214" i="68"/>
  <c r="F214" i="68" s="1"/>
  <c r="H214" i="68"/>
  <c r="E215" i="68"/>
  <c r="F215" i="68" s="1"/>
  <c r="H215" i="68"/>
  <c r="E216" i="68"/>
  <c r="F216" i="68" s="1"/>
  <c r="H216" i="68"/>
  <c r="E217" i="68"/>
  <c r="F217" i="68" s="1"/>
  <c r="H217" i="68"/>
  <c r="E218" i="68"/>
  <c r="F218" i="68" s="1"/>
  <c r="H218" i="68"/>
  <c r="E219" i="68"/>
  <c r="F219" i="68" s="1"/>
  <c r="H219" i="68"/>
  <c r="E220" i="68"/>
  <c r="F220" i="68" s="1"/>
  <c r="H220" i="68"/>
  <c r="E221" i="68"/>
  <c r="F221" i="68" s="1"/>
  <c r="H221" i="68"/>
  <c r="E222" i="68"/>
  <c r="F222" i="68" s="1"/>
  <c r="H222" i="68"/>
  <c r="E223" i="68"/>
  <c r="F223" i="68" s="1"/>
  <c r="H223" i="68"/>
  <c r="E224" i="68"/>
  <c r="F224" i="68" s="1"/>
  <c r="H224" i="68"/>
  <c r="E225" i="68"/>
  <c r="F225" i="68" s="1"/>
  <c r="H225" i="68"/>
  <c r="E226" i="68"/>
  <c r="F226" i="68" s="1"/>
  <c r="H226" i="68"/>
  <c r="E227" i="68"/>
  <c r="F227" i="68" s="1"/>
  <c r="H227" i="68"/>
  <c r="E228" i="68"/>
  <c r="F228" i="68" s="1"/>
  <c r="H228" i="68"/>
  <c r="E229" i="68"/>
  <c r="F229" i="68" s="1"/>
  <c r="H229" i="68"/>
  <c r="E230" i="68"/>
  <c r="F230" i="68" s="1"/>
  <c r="H230" i="68"/>
  <c r="E231" i="68"/>
  <c r="F231" i="68" s="1"/>
  <c r="H231" i="68"/>
  <c r="E232" i="68"/>
  <c r="F232" i="68" s="1"/>
  <c r="H232" i="68"/>
  <c r="E233" i="68"/>
  <c r="F233" i="68" s="1"/>
  <c r="H233" i="68"/>
  <c r="E234" i="68"/>
  <c r="F234" i="68" s="1"/>
  <c r="H234" i="68"/>
  <c r="E235" i="68"/>
  <c r="F235" i="68" s="1"/>
  <c r="H235" i="68"/>
  <c r="E236" i="68"/>
  <c r="F236" i="68" s="1"/>
  <c r="H236" i="68"/>
  <c r="E237" i="68"/>
  <c r="F237" i="68" s="1"/>
  <c r="H237" i="68"/>
  <c r="E238" i="68"/>
  <c r="F238" i="68" s="1"/>
  <c r="H238" i="68"/>
  <c r="E239" i="68"/>
  <c r="F239" i="68" s="1"/>
  <c r="H239" i="68"/>
  <c r="E240" i="68"/>
  <c r="F240" i="68" s="1"/>
  <c r="H240" i="68"/>
  <c r="E241" i="68"/>
  <c r="F241" i="68" s="1"/>
  <c r="H241" i="68"/>
  <c r="E242" i="68"/>
  <c r="F242" i="68" s="1"/>
  <c r="H242" i="68"/>
  <c r="E243" i="68"/>
  <c r="F243" i="68" s="1"/>
  <c r="H243" i="68"/>
  <c r="E244" i="68"/>
  <c r="F244" i="68" s="1"/>
  <c r="H244" i="68"/>
  <c r="E245" i="68"/>
  <c r="F245" i="68" s="1"/>
  <c r="H245" i="68"/>
  <c r="E246" i="68"/>
  <c r="F246" i="68" s="1"/>
  <c r="H246" i="68"/>
  <c r="E247" i="68"/>
  <c r="F247" i="68" s="1"/>
  <c r="H247" i="68"/>
  <c r="E248" i="68"/>
  <c r="F248" i="68" s="1"/>
  <c r="H248" i="68"/>
  <c r="E249" i="68"/>
  <c r="F249" i="68" s="1"/>
  <c r="H249" i="68"/>
  <c r="E250" i="68"/>
  <c r="F250" i="68" s="1"/>
  <c r="H250" i="68"/>
  <c r="E251" i="68"/>
  <c r="F251" i="68" s="1"/>
  <c r="H251" i="68"/>
  <c r="E252" i="68"/>
  <c r="F252" i="68" s="1"/>
  <c r="H252" i="68"/>
  <c r="E253" i="68"/>
  <c r="F253" i="68" s="1"/>
  <c r="H253" i="68"/>
  <c r="E254" i="68"/>
  <c r="F254" i="68" s="1"/>
  <c r="H254" i="68"/>
  <c r="E255" i="68"/>
  <c r="F255" i="68" s="1"/>
  <c r="H255" i="68"/>
  <c r="E256" i="68"/>
  <c r="F256" i="68" s="1"/>
  <c r="H256" i="68"/>
  <c r="E257" i="68"/>
  <c r="F257" i="68" s="1"/>
  <c r="H257" i="68"/>
  <c r="E258" i="68"/>
  <c r="F258" i="68" s="1"/>
  <c r="H258" i="68"/>
  <c r="E259" i="68"/>
  <c r="F259" i="68" s="1"/>
  <c r="H259"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s="1"/>
  <c r="AI10" i="67" s="1"/>
  <c r="F11" i="67"/>
  <c r="G11" i="67" s="1"/>
  <c r="AZ11" i="67" s="1"/>
  <c r="F12" i="67"/>
  <c r="G12" i="67" s="1"/>
  <c r="AZ12" i="67" s="1"/>
  <c r="F13" i="67"/>
  <c r="G13" i="67" s="1"/>
  <c r="AZ13" i="67" s="1"/>
  <c r="F14" i="67"/>
  <c r="G14" i="67" s="1"/>
  <c r="AZ14" i="67" s="1"/>
  <c r="F15" i="67"/>
  <c r="G15" i="67" s="1"/>
  <c r="AZ15" i="67" s="1"/>
  <c r="F16" i="67"/>
  <c r="G16" i="67" s="1"/>
  <c r="AZ16" i="67" s="1"/>
  <c r="F17" i="67"/>
  <c r="G17" i="67" s="1"/>
  <c r="AZ17" i="67" s="1"/>
  <c r="F18" i="67"/>
  <c r="G18" i="67" s="1"/>
  <c r="AZ18" i="67" s="1"/>
  <c r="F19" i="67"/>
  <c r="G19" i="67" s="1"/>
  <c r="AZ19" i="67" s="1"/>
  <c r="F20" i="67"/>
  <c r="G20" i="67" s="1"/>
  <c r="F21" i="67"/>
  <c r="G21" i="67" s="1"/>
  <c r="F22" i="67"/>
  <c r="G22" i="67" s="1"/>
  <c r="F23" i="67"/>
  <c r="G23" i="67" s="1"/>
  <c r="F24" i="67"/>
  <c r="G24" i="67" s="1"/>
  <c r="F25" i="67"/>
  <c r="G25" i="67" s="1"/>
  <c r="F26" i="67"/>
  <c r="G26" i="67" s="1"/>
  <c r="F27" i="67"/>
  <c r="G27" i="67" s="1"/>
  <c r="F28" i="67"/>
  <c r="G28" i="67" s="1"/>
  <c r="F29" i="67"/>
  <c r="G29" i="67" s="1"/>
  <c r="F30" i="67"/>
  <c r="G30" i="67" s="1"/>
  <c r="F31" i="67"/>
  <c r="G31" i="67" s="1"/>
  <c r="F32" i="67"/>
  <c r="G32" i="67" s="1"/>
  <c r="F33" i="67"/>
  <c r="G33" i="67" s="1"/>
  <c r="F34" i="67"/>
  <c r="G34" i="67" s="1"/>
  <c r="F35" i="67"/>
  <c r="G35" i="67" s="1"/>
  <c r="F36" i="67"/>
  <c r="G36" i="67" s="1"/>
  <c r="F37" i="67"/>
  <c r="G37" i="67" s="1"/>
  <c r="F38" i="67"/>
  <c r="G38" i="67" s="1"/>
  <c r="F39" i="67"/>
  <c r="G39" i="67" s="1"/>
  <c r="F40" i="67"/>
  <c r="G40" i="67" s="1"/>
  <c r="F41" i="67"/>
  <c r="G41" i="67" s="1"/>
  <c r="F42" i="67"/>
  <c r="G42" i="67" s="1"/>
  <c r="F43" i="67"/>
  <c r="G43" i="67" s="1"/>
  <c r="F44" i="67"/>
  <c r="G44" i="67" s="1"/>
  <c r="F45" i="67"/>
  <c r="G45" i="67" s="1"/>
  <c r="F46" i="67"/>
  <c r="G46" i="67" s="1"/>
  <c r="F47" i="67"/>
  <c r="G47" i="67" s="1"/>
  <c r="F48" i="67"/>
  <c r="G48" i="67" s="1"/>
  <c r="F49" i="67"/>
  <c r="G49" i="67" s="1"/>
  <c r="F50" i="67"/>
  <c r="G50" i="67" s="1"/>
  <c r="F51" i="67"/>
  <c r="G51" i="67" s="1"/>
  <c r="F52" i="67"/>
  <c r="G52" i="67" s="1"/>
  <c r="F53" i="67"/>
  <c r="G53" i="67" s="1"/>
  <c r="F54" i="67"/>
  <c r="G54" i="67" s="1"/>
  <c r="F55" i="67"/>
  <c r="G55" i="67" s="1"/>
  <c r="F56" i="67"/>
  <c r="G56" i="67" s="1"/>
  <c r="F57" i="67"/>
  <c r="G57" i="67" s="1"/>
  <c r="F58" i="67"/>
  <c r="G58" i="67" s="1"/>
  <c r="F59" i="67"/>
  <c r="G59" i="67" s="1"/>
  <c r="F60" i="67"/>
  <c r="G60" i="67" s="1"/>
  <c r="F61" i="67"/>
  <c r="G61" i="67" s="1"/>
  <c r="F62" i="67"/>
  <c r="G62" i="67" s="1"/>
  <c r="F63" i="67"/>
  <c r="G63" i="67" s="1"/>
  <c r="F64" i="67"/>
  <c r="G64" i="67" s="1"/>
  <c r="F65" i="67"/>
  <c r="G65" i="67" s="1"/>
  <c r="F66" i="67"/>
  <c r="G66" i="67" s="1"/>
  <c r="F67" i="67"/>
  <c r="G67" i="67" s="1"/>
  <c r="F68" i="67"/>
  <c r="G68" i="67" s="1"/>
  <c r="F69" i="67"/>
  <c r="G69" i="67" s="1"/>
  <c r="F70" i="67"/>
  <c r="G70" i="67" s="1"/>
  <c r="F71" i="67"/>
  <c r="G71" i="67" s="1"/>
  <c r="F72" i="67"/>
  <c r="G72" i="67" s="1"/>
  <c r="F73" i="67"/>
  <c r="G73" i="67" s="1"/>
  <c r="F74" i="67"/>
  <c r="G74" i="67" s="1"/>
  <c r="F75" i="67"/>
  <c r="G75" i="67" s="1"/>
  <c r="F76" i="67"/>
  <c r="G76" i="67" s="1"/>
  <c r="F77" i="67"/>
  <c r="G77" i="67" s="1"/>
  <c r="F78" i="67"/>
  <c r="G78" i="67" s="1"/>
  <c r="F79" i="67"/>
  <c r="G79" i="67" s="1"/>
  <c r="F80" i="67"/>
  <c r="G80" i="67" s="1"/>
  <c r="F81" i="67"/>
  <c r="G81" i="67" s="1"/>
  <c r="F82" i="67"/>
  <c r="G82" i="67" s="1"/>
  <c r="F83" i="67"/>
  <c r="G83" i="67" s="1"/>
  <c r="F84" i="67"/>
  <c r="G84" i="67" s="1"/>
  <c r="F85" i="67"/>
  <c r="G85" i="67" s="1"/>
  <c r="F86" i="67"/>
  <c r="G86" i="67" s="1"/>
  <c r="F87" i="67"/>
  <c r="G87" i="67" s="1"/>
  <c r="F88" i="67"/>
  <c r="G88" i="67" s="1"/>
  <c r="F89" i="67"/>
  <c r="G89" i="67" s="1"/>
  <c r="F90" i="67"/>
  <c r="G90" i="67" s="1"/>
  <c r="F91" i="67"/>
  <c r="G91" i="67" s="1"/>
  <c r="F92" i="67"/>
  <c r="G92" i="67" s="1"/>
  <c r="F93" i="67"/>
  <c r="G93" i="67" s="1"/>
  <c r="F94" i="67"/>
  <c r="G94" i="67" s="1"/>
  <c r="F95" i="67"/>
  <c r="G95" i="67" s="1"/>
  <c r="F96" i="67"/>
  <c r="G96" i="67" s="1"/>
  <c r="F97" i="67"/>
  <c r="G97" i="67" s="1"/>
  <c r="F98" i="67"/>
  <c r="G98" i="67" s="1"/>
  <c r="F99" i="67"/>
  <c r="G99" i="67" s="1"/>
  <c r="F100" i="67"/>
  <c r="G100" i="67" s="1"/>
  <c r="F101" i="67"/>
  <c r="G101" i="67" s="1"/>
  <c r="F102" i="67"/>
  <c r="G102" i="67" s="1"/>
  <c r="F103" i="67"/>
  <c r="G103" i="67" s="1"/>
  <c r="F104" i="67"/>
  <c r="G104" i="67" s="1"/>
  <c r="F105" i="67"/>
  <c r="G105" i="67" s="1"/>
  <c r="F106" i="67"/>
  <c r="G106" i="67" s="1"/>
  <c r="F107" i="67"/>
  <c r="G107" i="67" s="1"/>
  <c r="F108" i="67"/>
  <c r="G108" i="67" s="1"/>
  <c r="F109" i="67"/>
  <c r="G109" i="67" s="1"/>
  <c r="F110" i="67"/>
  <c r="G110" i="67" s="1"/>
  <c r="F111" i="67"/>
  <c r="G111" i="67" s="1"/>
  <c r="F112" i="67"/>
  <c r="G112" i="67" s="1"/>
  <c r="F113" i="67"/>
  <c r="G113" i="67" s="1"/>
  <c r="F114" i="67"/>
  <c r="G114" i="67" s="1"/>
  <c r="F115" i="67"/>
  <c r="G115" i="67" s="1"/>
  <c r="F116" i="67"/>
  <c r="G116" i="67" s="1"/>
  <c r="F117" i="67"/>
  <c r="G117" i="67" s="1"/>
  <c r="F118" i="67"/>
  <c r="G118" i="67" s="1"/>
  <c r="F119" i="67"/>
  <c r="G119" i="67" s="1"/>
  <c r="F120" i="67"/>
  <c r="G120" i="67" s="1"/>
  <c r="F121" i="67"/>
  <c r="G121" i="67" s="1"/>
  <c r="F122" i="67"/>
  <c r="G122" i="67" s="1"/>
  <c r="F123" i="67"/>
  <c r="G123" i="67" s="1"/>
  <c r="F124" i="67"/>
  <c r="G124" i="67" s="1"/>
  <c r="F125" i="67"/>
  <c r="G125" i="67" s="1"/>
  <c r="F126" i="67"/>
  <c r="G126" i="67" s="1"/>
  <c r="F127" i="67"/>
  <c r="G127" i="67" s="1"/>
  <c r="F128" i="67"/>
  <c r="G128" i="67" s="1"/>
  <c r="F129" i="67"/>
  <c r="G129" i="67" s="1"/>
  <c r="F130" i="67"/>
  <c r="G130" i="67" s="1"/>
  <c r="F131" i="67"/>
  <c r="G131" i="67" s="1"/>
  <c r="F132" i="67"/>
  <c r="G132" i="67" s="1"/>
  <c r="F133" i="67"/>
  <c r="G133" i="67" s="1"/>
  <c r="F134" i="67"/>
  <c r="G134" i="67" s="1"/>
  <c r="F135" i="67"/>
  <c r="G135" i="67" s="1"/>
  <c r="F136" i="67"/>
  <c r="G136" i="67" s="1"/>
  <c r="F137" i="67"/>
  <c r="G137" i="67" s="1"/>
  <c r="F138" i="67"/>
  <c r="G138" i="67" s="1"/>
  <c r="F139" i="67"/>
  <c r="G139" i="67" s="1"/>
  <c r="F140" i="67"/>
  <c r="G140" i="67" s="1"/>
  <c r="F141" i="67"/>
  <c r="G141" i="67" s="1"/>
  <c r="F142" i="67"/>
  <c r="G142" i="67" s="1"/>
  <c r="F143" i="67"/>
  <c r="G143" i="67" s="1"/>
  <c r="F144" i="67"/>
  <c r="G144" i="67" s="1"/>
  <c r="F145" i="67"/>
  <c r="G145" i="67" s="1"/>
  <c r="F146" i="67"/>
  <c r="G146" i="67" s="1"/>
  <c r="F147" i="67"/>
  <c r="G147" i="67" s="1"/>
  <c r="F148" i="67"/>
  <c r="G148" i="67" s="1"/>
  <c r="F149" i="67"/>
  <c r="G149" i="67" s="1"/>
  <c r="F150" i="67"/>
  <c r="G150" i="67" s="1"/>
  <c r="F151" i="67"/>
  <c r="G151" i="67" s="1"/>
  <c r="F152" i="67"/>
  <c r="G152" i="67" s="1"/>
  <c r="F153" i="67"/>
  <c r="G153" i="67" s="1"/>
  <c r="F154" i="67"/>
  <c r="G154" i="67" s="1"/>
  <c r="F155" i="67"/>
  <c r="G155" i="67" s="1"/>
  <c r="F156" i="67"/>
  <c r="G156" i="67" s="1"/>
  <c r="F157" i="67"/>
  <c r="G157" i="67" s="1"/>
  <c r="F158" i="67"/>
  <c r="G158" i="67" s="1"/>
  <c r="F159" i="67"/>
  <c r="G159" i="67" s="1"/>
  <c r="F160" i="67"/>
  <c r="G160" i="67" s="1"/>
  <c r="F161" i="67"/>
  <c r="G161" i="67" s="1"/>
  <c r="F162" i="67"/>
  <c r="G162" i="67" s="1"/>
  <c r="F163" i="67"/>
  <c r="G163" i="67" s="1"/>
  <c r="F164" i="67"/>
  <c r="G164" i="67" s="1"/>
  <c r="F165" i="67"/>
  <c r="G165" i="67" s="1"/>
  <c r="F166" i="67"/>
  <c r="G166" i="67" s="1"/>
  <c r="F167" i="67"/>
  <c r="G167" i="67" s="1"/>
  <c r="F168" i="67"/>
  <c r="G168" i="67" s="1"/>
  <c r="F169" i="67"/>
  <c r="G169" i="67" s="1"/>
  <c r="F170" i="67"/>
  <c r="G170" i="67" s="1"/>
  <c r="F171" i="67"/>
  <c r="G171" i="67" s="1"/>
  <c r="F172" i="67"/>
  <c r="G172" i="67" s="1"/>
  <c r="F173" i="67"/>
  <c r="G173" i="67" s="1"/>
  <c r="F174" i="67"/>
  <c r="G174" i="67" s="1"/>
  <c r="F175" i="67"/>
  <c r="G175" i="67" s="1"/>
  <c r="F176" i="67"/>
  <c r="G176" i="67" s="1"/>
  <c r="F177" i="67"/>
  <c r="G177" i="67" s="1"/>
  <c r="F178" i="67"/>
  <c r="G178" i="67" s="1"/>
  <c r="F179" i="67"/>
  <c r="G179" i="67" s="1"/>
  <c r="F180" i="67"/>
  <c r="G180" i="67" s="1"/>
  <c r="F181" i="67"/>
  <c r="G181" i="67" s="1"/>
  <c r="F182" i="67"/>
  <c r="G182" i="67" s="1"/>
  <c r="F183" i="67"/>
  <c r="G183" i="67" s="1"/>
  <c r="F184" i="67"/>
  <c r="G184" i="67" s="1"/>
  <c r="F185" i="67"/>
  <c r="G185" i="67" s="1"/>
  <c r="F186" i="67"/>
  <c r="G186" i="67" s="1"/>
  <c r="F187" i="67"/>
  <c r="G187" i="67" s="1"/>
  <c r="F188" i="67"/>
  <c r="G188" i="67" s="1"/>
  <c r="F189" i="67"/>
  <c r="G189" i="67" s="1"/>
  <c r="F190" i="67"/>
  <c r="G190" i="67" s="1"/>
  <c r="F191" i="67"/>
  <c r="G191" i="67" s="1"/>
  <c r="F192" i="67"/>
  <c r="G192" i="67" s="1"/>
  <c r="F193" i="67"/>
  <c r="G193" i="67" s="1"/>
  <c r="F194" i="67"/>
  <c r="G194" i="67" s="1"/>
  <c r="F195" i="67"/>
  <c r="G195" i="67" s="1"/>
  <c r="F196" i="67"/>
  <c r="G196" i="67" s="1"/>
  <c r="F197" i="67"/>
  <c r="G197" i="67" s="1"/>
  <c r="F198" i="67"/>
  <c r="G198" i="67" s="1"/>
  <c r="F199" i="67"/>
  <c r="G199" i="67" s="1"/>
  <c r="F200" i="67"/>
  <c r="G200" i="67" s="1"/>
  <c r="F201" i="67"/>
  <c r="G201" i="67" s="1"/>
  <c r="F202" i="67"/>
  <c r="G202" i="67" s="1"/>
  <c r="F203" i="67"/>
  <c r="G203" i="67" s="1"/>
  <c r="F204" i="67"/>
  <c r="G204" i="67" s="1"/>
  <c r="F205" i="67"/>
  <c r="G205" i="67" s="1"/>
  <c r="F206" i="67"/>
  <c r="G206" i="67" s="1"/>
  <c r="F207" i="67"/>
  <c r="G207" i="67" s="1"/>
  <c r="F208" i="67"/>
  <c r="G208" i="67" s="1"/>
  <c r="F209" i="67"/>
  <c r="G209" i="67" s="1"/>
  <c r="F210" i="67"/>
  <c r="G210" i="67" s="1"/>
  <c r="F211" i="67"/>
  <c r="G211" i="67" s="1"/>
  <c r="F212" i="67"/>
  <c r="G212" i="67" s="1"/>
  <c r="F213" i="67"/>
  <c r="G213" i="67" s="1"/>
  <c r="F214" i="67"/>
  <c r="G214" i="67" s="1"/>
  <c r="F215" i="67"/>
  <c r="G215" i="67" s="1"/>
  <c r="F216" i="67"/>
  <c r="G216" i="67" s="1"/>
  <c r="F217" i="67"/>
  <c r="G217" i="67" s="1"/>
  <c r="F218" i="67"/>
  <c r="G218" i="67" s="1"/>
  <c r="F219" i="67"/>
  <c r="G219" i="67" s="1"/>
  <c r="F220" i="67"/>
  <c r="G220" i="67" s="1"/>
  <c r="F221" i="67"/>
  <c r="G221" i="67" s="1"/>
  <c r="F222" i="67"/>
  <c r="G222" i="67" s="1"/>
  <c r="F223" i="67"/>
  <c r="G223" i="67" s="1"/>
  <c r="F224" i="67"/>
  <c r="G224" i="67" s="1"/>
  <c r="F225" i="67"/>
  <c r="G225" i="67" s="1"/>
  <c r="F226" i="67"/>
  <c r="G226" i="67" s="1"/>
  <c r="F227" i="67"/>
  <c r="G227" i="67" s="1"/>
  <c r="F228" i="67"/>
  <c r="G228" i="67" s="1"/>
  <c r="F229" i="67"/>
  <c r="G229" i="67" s="1"/>
  <c r="F230" i="67"/>
  <c r="G230" i="67" s="1"/>
  <c r="F231" i="67"/>
  <c r="G231" i="67" s="1"/>
  <c r="F232" i="67"/>
  <c r="G232" i="67" s="1"/>
  <c r="F233" i="67"/>
  <c r="G233" i="67" s="1"/>
  <c r="F234" i="67"/>
  <c r="G234" i="67" s="1"/>
  <c r="F235" i="67"/>
  <c r="G235" i="67" s="1"/>
  <c r="F236" i="67"/>
  <c r="G236" i="67" s="1"/>
  <c r="F237" i="67"/>
  <c r="G237" i="67" s="1"/>
  <c r="F238" i="67"/>
  <c r="G238" i="67" s="1"/>
  <c r="F239" i="67"/>
  <c r="G239" i="67" s="1"/>
  <c r="F240" i="67"/>
  <c r="G240" i="67" s="1"/>
  <c r="F241" i="67"/>
  <c r="G241" i="67" s="1"/>
  <c r="F242" i="67"/>
  <c r="G242" i="67" s="1"/>
  <c r="F243" i="67"/>
  <c r="G243" i="67" s="1"/>
  <c r="F244" i="67"/>
  <c r="G244" i="67" s="1"/>
  <c r="F245" i="67"/>
  <c r="G245" i="67" s="1"/>
  <c r="F246" i="67"/>
  <c r="G246" i="67" s="1"/>
  <c r="F247" i="67"/>
  <c r="G247" i="67" s="1"/>
  <c r="F248" i="67"/>
  <c r="G248" i="67" s="1"/>
  <c r="F249" i="67"/>
  <c r="G249" i="67" s="1"/>
  <c r="F250" i="67"/>
  <c r="G250" i="67" s="1"/>
  <c r="F251" i="67"/>
  <c r="G251" i="67" s="1"/>
  <c r="F252" i="67"/>
  <c r="G252" i="67" s="1"/>
  <c r="F253" i="67"/>
  <c r="G253" i="67" s="1"/>
  <c r="F254" i="67"/>
  <c r="G254" i="67" s="1"/>
  <c r="F255" i="67"/>
  <c r="G255" i="67" s="1"/>
  <c r="F256" i="67"/>
  <c r="G256" i="67" s="1"/>
  <c r="F257" i="67"/>
  <c r="G257" i="67" s="1"/>
  <c r="F10" i="67"/>
  <c r="Y253" i="67" l="1"/>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AF22" i="53"/>
  <c r="AA22" i="53"/>
  <c r="AA21" i="53"/>
  <c r="AG22" i="57"/>
  <c r="X22" i="57"/>
  <c r="AB22" i="57" s="1"/>
  <c r="X23" i="53"/>
  <c r="AA23" i="53" s="1"/>
  <c r="G10" i="67"/>
  <c r="AA10" i="67"/>
  <c r="AD23" i="57"/>
  <c r="M25" i="53"/>
  <c r="AC25" i="53" s="1"/>
  <c r="O25" i="53"/>
  <c r="AQ23" i="57"/>
  <c r="Q23" i="57"/>
  <c r="T23" i="57" s="1"/>
  <c r="R23" i="57"/>
  <c r="M24" i="57"/>
  <c r="AK24" i="57" s="1"/>
  <c r="N25" i="53"/>
  <c r="Y19" i="67"/>
  <c r="Z19" i="67"/>
  <c r="Y18" i="67"/>
  <c r="Z18" i="67"/>
  <c r="Y17" i="67"/>
  <c r="Z17" i="67"/>
  <c r="Y16" i="67"/>
  <c r="Z16" i="67"/>
  <c r="Y15" i="67"/>
  <c r="Z15" i="67"/>
  <c r="Y14" i="67"/>
  <c r="Z14" i="67"/>
  <c r="Y13" i="67"/>
  <c r="Z13" i="67"/>
  <c r="Y12" i="67"/>
  <c r="Z12" i="67"/>
  <c r="Y11" i="67"/>
  <c r="Z11" i="67"/>
  <c r="D185" i="36"/>
  <c r="O12" i="64"/>
  <c r="P20" i="68"/>
  <c r="P28" i="68"/>
  <c r="Q28" i="68" s="1"/>
  <c r="P36" i="68"/>
  <c r="Q36" i="68" s="1"/>
  <c r="P44" i="68"/>
  <c r="Q44" i="68" s="1"/>
  <c r="P52" i="68"/>
  <c r="Q52" i="68" s="1"/>
  <c r="P60" i="68"/>
  <c r="Q60" i="68" s="1"/>
  <c r="P68" i="68"/>
  <c r="Q68" i="68" s="1"/>
  <c r="AB68" i="68" s="1"/>
  <c r="P76" i="68"/>
  <c r="Q76" i="68" s="1"/>
  <c r="P84" i="68"/>
  <c r="Q84" i="68" s="1"/>
  <c r="AB84" i="68" s="1"/>
  <c r="P92" i="68"/>
  <c r="Q92" i="68" s="1"/>
  <c r="P100" i="68"/>
  <c r="Q100" i="68" s="1"/>
  <c r="P108" i="68"/>
  <c r="Q108" i="68" s="1"/>
  <c r="P116" i="68"/>
  <c r="Q116" i="68" s="1"/>
  <c r="AB116" i="68" s="1"/>
  <c r="P124" i="68"/>
  <c r="Q124" i="68" s="1"/>
  <c r="P132" i="68"/>
  <c r="Q132" i="68" s="1"/>
  <c r="AB132" i="68" s="1"/>
  <c r="P140" i="68"/>
  <c r="Q140" i="68" s="1"/>
  <c r="P148" i="68"/>
  <c r="Q148" i="68" s="1"/>
  <c r="AB148" i="68" s="1"/>
  <c r="P156" i="68"/>
  <c r="Q156" i="68" s="1"/>
  <c r="P164" i="68"/>
  <c r="Q164" i="68" s="1"/>
  <c r="P172" i="68"/>
  <c r="Q172" i="68" s="1"/>
  <c r="P180" i="68"/>
  <c r="Q180" i="68" s="1"/>
  <c r="P188" i="68"/>
  <c r="Q188" i="68" s="1"/>
  <c r="P196" i="68"/>
  <c r="Q196" i="68" s="1"/>
  <c r="AB196" i="68" s="1"/>
  <c r="P204" i="68"/>
  <c r="Q204" i="68" s="1"/>
  <c r="P212" i="68"/>
  <c r="Q212" i="68" s="1"/>
  <c r="AB212" i="68" s="1"/>
  <c r="P220" i="68"/>
  <c r="Q220" i="68" s="1"/>
  <c r="P228" i="68"/>
  <c r="Q228" i="68" s="1"/>
  <c r="P236" i="68"/>
  <c r="Q236" i="68" s="1"/>
  <c r="P244" i="68"/>
  <c r="Q244" i="68" s="1"/>
  <c r="P252" i="68"/>
  <c r="Q252" i="68" s="1"/>
  <c r="P17" i="68"/>
  <c r="P25" i="68"/>
  <c r="Q25" i="68" s="1"/>
  <c r="P33" i="68"/>
  <c r="Q33" i="68" s="1"/>
  <c r="AB33" i="68" s="1"/>
  <c r="P41" i="68"/>
  <c r="Q41" i="68" s="1"/>
  <c r="P49" i="68"/>
  <c r="Q49" i="68" s="1"/>
  <c r="P57" i="68"/>
  <c r="Q57" i="68" s="1"/>
  <c r="P65" i="68"/>
  <c r="Q65" i="68" s="1"/>
  <c r="AB65" i="68" s="1"/>
  <c r="P73" i="68"/>
  <c r="Q73" i="68" s="1"/>
  <c r="P81" i="68"/>
  <c r="Q81" i="68" s="1"/>
  <c r="AB81" i="68" s="1"/>
  <c r="P89" i="68"/>
  <c r="Q89" i="68" s="1"/>
  <c r="P97" i="68"/>
  <c r="Q97" i="68" s="1"/>
  <c r="P105" i="68"/>
  <c r="Q105" i="68" s="1"/>
  <c r="P113" i="68"/>
  <c r="Q113" i="68" s="1"/>
  <c r="P121" i="68"/>
  <c r="Q121" i="68" s="1"/>
  <c r="P129" i="68"/>
  <c r="Q129" i="68" s="1"/>
  <c r="AB129" i="68" s="1"/>
  <c r="P137" i="68"/>
  <c r="Q137" i="68" s="1"/>
  <c r="P145" i="68"/>
  <c r="Q145" i="68" s="1"/>
  <c r="AB145" i="68" s="1"/>
  <c r="P153" i="68"/>
  <c r="Q153" i="68" s="1"/>
  <c r="P161" i="68"/>
  <c r="Q161" i="68" s="1"/>
  <c r="AB161" i="68" s="1"/>
  <c r="P169" i="68"/>
  <c r="Q169" i="68" s="1"/>
  <c r="P177" i="68"/>
  <c r="Q177" i="68" s="1"/>
  <c r="P185" i="68"/>
  <c r="Q185" i="68" s="1"/>
  <c r="P193" i="68"/>
  <c r="Q193" i="68" s="1"/>
  <c r="AB193" i="68" s="1"/>
  <c r="P201" i="68"/>
  <c r="Q201" i="68" s="1"/>
  <c r="P209" i="68"/>
  <c r="Q209" i="68" s="1"/>
  <c r="AB209" i="68" s="1"/>
  <c r="P217" i="68"/>
  <c r="Q217" i="68" s="1"/>
  <c r="P225" i="68"/>
  <c r="Q225" i="68" s="1"/>
  <c r="AB225" i="68" s="1"/>
  <c r="P233" i="68"/>
  <c r="Q233" i="68" s="1"/>
  <c r="P241" i="68"/>
  <c r="Q241" i="68" s="1"/>
  <c r="P249" i="68"/>
  <c r="Q249" i="68" s="1"/>
  <c r="AB249" i="68" s="1"/>
  <c r="P257" i="68"/>
  <c r="Q257" i="68" s="1"/>
  <c r="P22" i="68"/>
  <c r="Q22" i="68" s="1"/>
  <c r="AB22" i="68" s="1"/>
  <c r="P30" i="68"/>
  <c r="Q30" i="68" s="1"/>
  <c r="AB30" i="68" s="1"/>
  <c r="P38" i="68"/>
  <c r="Q38" i="68" s="1"/>
  <c r="P46" i="68"/>
  <c r="Q46" i="68" s="1"/>
  <c r="AB46" i="68" s="1"/>
  <c r="P54" i="68"/>
  <c r="Q54" i="68" s="1"/>
  <c r="P62" i="68"/>
  <c r="Q62" i="68" s="1"/>
  <c r="P70" i="68"/>
  <c r="Q70" i="68" s="1"/>
  <c r="P78" i="68"/>
  <c r="Q78" i="68" s="1"/>
  <c r="AB78" i="68" s="1"/>
  <c r="P86" i="68"/>
  <c r="Q86" i="68" s="1"/>
  <c r="P94" i="68"/>
  <c r="Q94" i="68" s="1"/>
  <c r="AB94" i="68" s="1"/>
  <c r="P102" i="68"/>
  <c r="Q102" i="68" s="1"/>
  <c r="P110" i="68"/>
  <c r="Q110" i="68" s="1"/>
  <c r="AB110" i="68" s="1"/>
  <c r="P118" i="68"/>
  <c r="Q118" i="68" s="1"/>
  <c r="P126" i="68"/>
  <c r="Q126" i="68" s="1"/>
  <c r="P134" i="68"/>
  <c r="Q134" i="68" s="1"/>
  <c r="P142" i="68"/>
  <c r="Q142" i="68" s="1"/>
  <c r="P150" i="68"/>
  <c r="Q150" i="68" s="1"/>
  <c r="P158" i="68"/>
  <c r="Q158" i="68" s="1"/>
  <c r="AB158" i="68" s="1"/>
  <c r="P166" i="68"/>
  <c r="Q166" i="68" s="1"/>
  <c r="P174" i="68"/>
  <c r="Q174" i="68" s="1"/>
  <c r="AB174" i="68" s="1"/>
  <c r="P182" i="68"/>
  <c r="Q182" i="68" s="1"/>
  <c r="P190" i="68"/>
  <c r="Q190" i="68" s="1"/>
  <c r="P198" i="68"/>
  <c r="Q198" i="68" s="1"/>
  <c r="P206" i="68"/>
  <c r="Q206" i="68" s="1"/>
  <c r="AB206" i="68" s="1"/>
  <c r="P214" i="68"/>
  <c r="Q214" i="68" s="1"/>
  <c r="P222" i="68"/>
  <c r="Q222" i="68" s="1"/>
  <c r="AB222" i="68" s="1"/>
  <c r="P230" i="68"/>
  <c r="Q230" i="68" s="1"/>
  <c r="P238" i="68"/>
  <c r="Q238" i="68" s="1"/>
  <c r="P246" i="68"/>
  <c r="Q246" i="68" s="1"/>
  <c r="P254" i="68"/>
  <c r="Q254" i="68" s="1"/>
  <c r="P163" i="68"/>
  <c r="Q163" i="68" s="1"/>
  <c r="P179" i="68"/>
  <c r="Q179" i="68" s="1"/>
  <c r="AB179" i="68" s="1"/>
  <c r="P195" i="68"/>
  <c r="Q195" i="68" s="1"/>
  <c r="AB195" i="68" s="1"/>
  <c r="P211" i="68"/>
  <c r="Q211" i="68" s="1"/>
  <c r="AB211" i="68" s="1"/>
  <c r="P227" i="68"/>
  <c r="Q227" i="68" s="1"/>
  <c r="P243" i="68"/>
  <c r="Q243" i="68" s="1"/>
  <c r="AB243" i="68" s="1"/>
  <c r="P259" i="68"/>
  <c r="Q259" i="68" s="1"/>
  <c r="AB259" i="68" s="1"/>
  <c r="P14" i="68"/>
  <c r="P23" i="68"/>
  <c r="Q23" i="68" s="1"/>
  <c r="P31" i="68"/>
  <c r="Q31" i="68" s="1"/>
  <c r="AB31" i="68" s="1"/>
  <c r="P47" i="68"/>
  <c r="Q47" i="68" s="1"/>
  <c r="P55" i="68"/>
  <c r="Q55" i="68" s="1"/>
  <c r="AB55" i="68" s="1"/>
  <c r="P63" i="68"/>
  <c r="Q63" i="68" s="1"/>
  <c r="P71" i="68"/>
  <c r="Q71" i="68" s="1"/>
  <c r="AB71" i="68" s="1"/>
  <c r="P79" i="68"/>
  <c r="Q79" i="68" s="1"/>
  <c r="P95" i="68"/>
  <c r="Q95" i="68" s="1"/>
  <c r="P111" i="68"/>
  <c r="Q111" i="68" s="1"/>
  <c r="P119" i="68"/>
  <c r="Q119" i="68" s="1"/>
  <c r="AB119" i="68" s="1"/>
  <c r="P127" i="68"/>
  <c r="Q127" i="68" s="1"/>
  <c r="AB127" i="68" s="1"/>
  <c r="P135" i="68"/>
  <c r="Q135" i="68" s="1"/>
  <c r="AB135" i="68" s="1"/>
  <c r="P143" i="68"/>
  <c r="Q143" i="68" s="1"/>
  <c r="AB143" i="68" s="1"/>
  <c r="P159" i="68"/>
  <c r="Q159" i="68" s="1"/>
  <c r="P167" i="68"/>
  <c r="Q167" i="68" s="1"/>
  <c r="P175" i="68"/>
  <c r="Q175" i="68" s="1"/>
  <c r="P183" i="68"/>
  <c r="Q183" i="68" s="1"/>
  <c r="P191" i="68"/>
  <c r="Q191" i="68" s="1"/>
  <c r="AB191" i="68" s="1"/>
  <c r="P199" i="68"/>
  <c r="Q199" i="68" s="1"/>
  <c r="P207" i="68"/>
  <c r="Q207" i="68" s="1"/>
  <c r="AB207" i="68" s="1"/>
  <c r="P215" i="68"/>
  <c r="Q215" i="68" s="1"/>
  <c r="P223" i="68"/>
  <c r="Q223" i="68" s="1"/>
  <c r="AB223" i="68" s="1"/>
  <c r="P231" i="68"/>
  <c r="Q231" i="68" s="1"/>
  <c r="P239" i="68"/>
  <c r="Q239" i="68" s="1"/>
  <c r="P247" i="68"/>
  <c r="Q247" i="68" s="1"/>
  <c r="P255" i="68"/>
  <c r="Q255" i="68" s="1"/>
  <c r="AB255" i="68" s="1"/>
  <c r="P24" i="68"/>
  <c r="Q24" i="68" s="1"/>
  <c r="P32" i="68"/>
  <c r="Q32" i="68" s="1"/>
  <c r="AB32" i="68" s="1"/>
  <c r="P40" i="68"/>
  <c r="Q40" i="68" s="1"/>
  <c r="P48" i="68"/>
  <c r="Q48" i="68" s="1"/>
  <c r="AB48" i="68" s="1"/>
  <c r="P56" i="68"/>
  <c r="Q56" i="68" s="1"/>
  <c r="AB56" i="68" s="1"/>
  <c r="P64" i="68"/>
  <c r="Q64" i="68" s="1"/>
  <c r="P72" i="68"/>
  <c r="Q72" i="68" s="1"/>
  <c r="AB72" i="68" s="1"/>
  <c r="P80" i="68"/>
  <c r="Q80" i="68" s="1"/>
  <c r="P88" i="68"/>
  <c r="Q88" i="68" s="1"/>
  <c r="P96" i="68"/>
  <c r="Q96" i="68" s="1"/>
  <c r="AB96" i="68" s="1"/>
  <c r="P104" i="68"/>
  <c r="Q104" i="68" s="1"/>
  <c r="P112" i="68"/>
  <c r="Q112" i="68" s="1"/>
  <c r="AB112" i="68" s="1"/>
  <c r="P120" i="68"/>
  <c r="Q120" i="68" s="1"/>
  <c r="AB120" i="68" s="1"/>
  <c r="P128" i="68"/>
  <c r="Q128" i="68" s="1"/>
  <c r="P136" i="68"/>
  <c r="Q136" i="68" s="1"/>
  <c r="AB136" i="68" s="1"/>
  <c r="P144" i="68"/>
  <c r="Q144" i="68" s="1"/>
  <c r="AB144" i="68" s="1"/>
  <c r="P152" i="68"/>
  <c r="Q152" i="68" s="1"/>
  <c r="AB152" i="68" s="1"/>
  <c r="P160" i="68"/>
  <c r="Q160" i="68" s="1"/>
  <c r="AB160" i="68" s="1"/>
  <c r="P168" i="68"/>
  <c r="Q168" i="68" s="1"/>
  <c r="P176" i="68"/>
  <c r="Q176" i="68" s="1"/>
  <c r="AB176" i="68" s="1"/>
  <c r="P184" i="68"/>
  <c r="Q184" i="68" s="1"/>
  <c r="P192" i="68"/>
  <c r="Q192" i="68" s="1"/>
  <c r="P200" i="68"/>
  <c r="Q200" i="68" s="1"/>
  <c r="P208" i="68"/>
  <c r="Q208" i="68" s="1"/>
  <c r="AB208" i="68" s="1"/>
  <c r="P216" i="68"/>
  <c r="Q216" i="68" s="1"/>
  <c r="AB216" i="68" s="1"/>
  <c r="P224" i="68"/>
  <c r="Q224" i="68" s="1"/>
  <c r="AB224" i="68" s="1"/>
  <c r="P232" i="68"/>
  <c r="Q232" i="68" s="1"/>
  <c r="AB232" i="68" s="1"/>
  <c r="P240" i="68"/>
  <c r="Q240" i="68" s="1"/>
  <c r="AB240" i="68" s="1"/>
  <c r="P248" i="68"/>
  <c r="Q248" i="68" s="1"/>
  <c r="AB248" i="68" s="1"/>
  <c r="P256" i="68"/>
  <c r="Q256" i="68" s="1"/>
  <c r="P21" i="68"/>
  <c r="P29" i="68"/>
  <c r="Q29" i="68" s="1"/>
  <c r="AB29" i="68" s="1"/>
  <c r="P37" i="68"/>
  <c r="Q37" i="68" s="1"/>
  <c r="AB37" i="68" s="1"/>
  <c r="P45" i="68"/>
  <c r="Q45" i="68" s="1"/>
  <c r="AB45" i="68" s="1"/>
  <c r="P53" i="68"/>
  <c r="Q53" i="68" s="1"/>
  <c r="AB53" i="68" s="1"/>
  <c r="P61" i="68"/>
  <c r="Q61" i="68" s="1"/>
  <c r="AB61" i="68" s="1"/>
  <c r="P69" i="68"/>
  <c r="Q69" i="68" s="1"/>
  <c r="AB69" i="68" s="1"/>
  <c r="P77" i="68"/>
  <c r="Q77" i="68" s="1"/>
  <c r="P85" i="68"/>
  <c r="Q85" i="68" s="1"/>
  <c r="AB85" i="68" s="1"/>
  <c r="P93" i="68"/>
  <c r="Q93" i="68" s="1"/>
  <c r="AB93" i="68" s="1"/>
  <c r="P101" i="68"/>
  <c r="Q101" i="68" s="1"/>
  <c r="AB101" i="68" s="1"/>
  <c r="P109" i="68"/>
  <c r="Q109" i="68" s="1"/>
  <c r="AB109" i="68" s="1"/>
  <c r="P117" i="68"/>
  <c r="Q117" i="68" s="1"/>
  <c r="AB117" i="68" s="1"/>
  <c r="P125" i="68"/>
  <c r="Q125" i="68" s="1"/>
  <c r="P133" i="68"/>
  <c r="Q133" i="68" s="1"/>
  <c r="AB133" i="68" s="1"/>
  <c r="P141" i="68"/>
  <c r="Q141" i="68" s="1"/>
  <c r="AB141" i="68" s="1"/>
  <c r="P149" i="68"/>
  <c r="Q149" i="68" s="1"/>
  <c r="AB149" i="68" s="1"/>
  <c r="P157" i="68"/>
  <c r="Q157" i="68" s="1"/>
  <c r="AB157" i="68" s="1"/>
  <c r="P165" i="68"/>
  <c r="Q165" i="68" s="1"/>
  <c r="AB165" i="68" s="1"/>
  <c r="P173" i="68"/>
  <c r="Q173" i="68" s="1"/>
  <c r="AB173" i="68" s="1"/>
  <c r="P181" i="68"/>
  <c r="Q181" i="68" s="1"/>
  <c r="AB181" i="68" s="1"/>
  <c r="P189" i="68"/>
  <c r="Q189" i="68" s="1"/>
  <c r="AB189" i="68" s="1"/>
  <c r="P197" i="68"/>
  <c r="Q197" i="68" s="1"/>
  <c r="AB197" i="68" s="1"/>
  <c r="P205" i="68"/>
  <c r="Q205" i="68" s="1"/>
  <c r="AB205" i="68" s="1"/>
  <c r="P213" i="68"/>
  <c r="Q213" i="68" s="1"/>
  <c r="AB213" i="68" s="1"/>
  <c r="P221" i="68"/>
  <c r="Q221" i="68" s="1"/>
  <c r="AB221" i="68" s="1"/>
  <c r="P229" i="68"/>
  <c r="Q229" i="68" s="1"/>
  <c r="AB229" i="68" s="1"/>
  <c r="P237" i="68"/>
  <c r="Q237" i="68" s="1"/>
  <c r="AB237" i="68" s="1"/>
  <c r="P245" i="68"/>
  <c r="Q245" i="68" s="1"/>
  <c r="AB245" i="68" s="1"/>
  <c r="P253" i="68"/>
  <c r="Q253" i="68" s="1"/>
  <c r="AB253" i="68" s="1"/>
  <c r="P18" i="68"/>
  <c r="P26" i="68"/>
  <c r="Q26" i="68" s="1"/>
  <c r="AB26" i="68" s="1"/>
  <c r="P34" i="68"/>
  <c r="Q34" i="68" s="1"/>
  <c r="AB34" i="68" s="1"/>
  <c r="P42" i="68"/>
  <c r="Q42" i="68" s="1"/>
  <c r="AB42" i="68" s="1"/>
  <c r="P50" i="68"/>
  <c r="Q50" i="68" s="1"/>
  <c r="AB50" i="68" s="1"/>
  <c r="P58" i="68"/>
  <c r="Q58" i="68" s="1"/>
  <c r="AB58" i="68" s="1"/>
  <c r="P66" i="68"/>
  <c r="Q66" i="68" s="1"/>
  <c r="AB66" i="68" s="1"/>
  <c r="P74" i="68"/>
  <c r="Q74" i="68" s="1"/>
  <c r="AB74" i="68" s="1"/>
  <c r="P82" i="68"/>
  <c r="Q82" i="68" s="1"/>
  <c r="AB82" i="68" s="1"/>
  <c r="P90" i="68"/>
  <c r="Q90" i="68" s="1"/>
  <c r="AB90" i="68" s="1"/>
  <c r="P98" i="68"/>
  <c r="Q98" i="68" s="1"/>
  <c r="AB98" i="68" s="1"/>
  <c r="P106" i="68"/>
  <c r="Q106" i="68" s="1"/>
  <c r="AB106" i="68" s="1"/>
  <c r="P114" i="68"/>
  <c r="Q114" i="68" s="1"/>
  <c r="AB114" i="68" s="1"/>
  <c r="P122" i="68"/>
  <c r="Q122" i="68" s="1"/>
  <c r="AB122" i="68" s="1"/>
  <c r="P130" i="68"/>
  <c r="Q130" i="68" s="1"/>
  <c r="AB130" i="68" s="1"/>
  <c r="P138" i="68"/>
  <c r="Q138" i="68" s="1"/>
  <c r="AB138" i="68" s="1"/>
  <c r="P146" i="68"/>
  <c r="Q146" i="68" s="1"/>
  <c r="AB146" i="68" s="1"/>
  <c r="P154" i="68"/>
  <c r="Q154" i="68" s="1"/>
  <c r="AB154" i="68" s="1"/>
  <c r="P162" i="68"/>
  <c r="Q162" i="68" s="1"/>
  <c r="AB162" i="68" s="1"/>
  <c r="P170" i="68"/>
  <c r="Q170" i="68" s="1"/>
  <c r="AB170" i="68" s="1"/>
  <c r="P178" i="68"/>
  <c r="Q178" i="68" s="1"/>
  <c r="AB178" i="68" s="1"/>
  <c r="P186" i="68"/>
  <c r="Q186" i="68" s="1"/>
  <c r="AB186" i="68" s="1"/>
  <c r="P194" i="68"/>
  <c r="Q194" i="68" s="1"/>
  <c r="AB194" i="68" s="1"/>
  <c r="P202" i="68"/>
  <c r="Q202" i="68" s="1"/>
  <c r="AB202" i="68" s="1"/>
  <c r="P210" i="68"/>
  <c r="Q210" i="68" s="1"/>
  <c r="AB210" i="68" s="1"/>
  <c r="P218" i="68"/>
  <c r="Q218" i="68" s="1"/>
  <c r="AB218" i="68" s="1"/>
  <c r="P226" i="68"/>
  <c r="Q226" i="68" s="1"/>
  <c r="AB226" i="68" s="1"/>
  <c r="P234" i="68"/>
  <c r="Q234" i="68" s="1"/>
  <c r="AB234" i="68" s="1"/>
  <c r="P242" i="68"/>
  <c r="Q242" i="68" s="1"/>
  <c r="AB242" i="68" s="1"/>
  <c r="P250" i="68"/>
  <c r="Q250" i="68" s="1"/>
  <c r="AB250" i="68" s="1"/>
  <c r="P258" i="68"/>
  <c r="Q258" i="68" s="1"/>
  <c r="AB258" i="68" s="1"/>
  <c r="P39" i="68"/>
  <c r="Q39" i="68" s="1"/>
  <c r="AB39" i="68" s="1"/>
  <c r="P87" i="68"/>
  <c r="Q87" i="68" s="1"/>
  <c r="AB87" i="68" s="1"/>
  <c r="P103" i="68"/>
  <c r="Q103" i="68" s="1"/>
  <c r="AB103" i="68" s="1"/>
  <c r="P151" i="68"/>
  <c r="Q151" i="68" s="1"/>
  <c r="AB151" i="68" s="1"/>
  <c r="P16" i="68"/>
  <c r="P15" i="68"/>
  <c r="P19" i="68"/>
  <c r="P27" i="68"/>
  <c r="Q27" i="68" s="1"/>
  <c r="AB27" i="68" s="1"/>
  <c r="P35" i="68"/>
  <c r="Q35" i="68" s="1"/>
  <c r="AB35" i="68" s="1"/>
  <c r="P43" i="68"/>
  <c r="Q43" i="68" s="1"/>
  <c r="AB43" i="68" s="1"/>
  <c r="P51" i="68"/>
  <c r="Q51" i="68" s="1"/>
  <c r="AB51" i="68" s="1"/>
  <c r="P59" i="68"/>
  <c r="Q59" i="68" s="1"/>
  <c r="AB59" i="68" s="1"/>
  <c r="P67" i="68"/>
  <c r="Q67" i="68" s="1"/>
  <c r="AB67" i="68" s="1"/>
  <c r="P75" i="68"/>
  <c r="Q75" i="68" s="1"/>
  <c r="AB75" i="68" s="1"/>
  <c r="P83" i="68"/>
  <c r="Q83" i="68" s="1"/>
  <c r="AB83" i="68" s="1"/>
  <c r="P91" i="68"/>
  <c r="Q91" i="68" s="1"/>
  <c r="AB91" i="68" s="1"/>
  <c r="P99" i="68"/>
  <c r="Q99" i="68" s="1"/>
  <c r="AB99" i="68" s="1"/>
  <c r="P107" i="68"/>
  <c r="Q107" i="68" s="1"/>
  <c r="AB107" i="68" s="1"/>
  <c r="P115" i="68"/>
  <c r="Q115" i="68" s="1"/>
  <c r="AB115" i="68" s="1"/>
  <c r="P123" i="68"/>
  <c r="Q123" i="68" s="1"/>
  <c r="AB123" i="68" s="1"/>
  <c r="P131" i="68"/>
  <c r="Q131" i="68" s="1"/>
  <c r="AB131" i="68" s="1"/>
  <c r="P139" i="68"/>
  <c r="Q139" i="68" s="1"/>
  <c r="AB139" i="68" s="1"/>
  <c r="P147" i="68"/>
  <c r="Q147" i="68" s="1"/>
  <c r="AB147" i="68" s="1"/>
  <c r="P155" i="68"/>
  <c r="Q155" i="68" s="1"/>
  <c r="AB155" i="68" s="1"/>
  <c r="P171" i="68"/>
  <c r="Q171" i="68" s="1"/>
  <c r="AB171" i="68" s="1"/>
  <c r="P187" i="68"/>
  <c r="Q187" i="68" s="1"/>
  <c r="AB187" i="68" s="1"/>
  <c r="P203" i="68"/>
  <c r="Q203" i="68" s="1"/>
  <c r="AB203" i="68" s="1"/>
  <c r="P219" i="68"/>
  <c r="Q219" i="68" s="1"/>
  <c r="AB219" i="68" s="1"/>
  <c r="P235" i="68"/>
  <c r="Q235" i="68" s="1"/>
  <c r="AB235" i="68" s="1"/>
  <c r="P251" i="68"/>
  <c r="Q251" i="68" s="1"/>
  <c r="AB251" i="68" s="1"/>
  <c r="AC20" i="57"/>
  <c r="AJ20" i="57" s="1"/>
  <c r="N24" i="57"/>
  <c r="AH20" i="53"/>
  <c r="AH19" i="53"/>
  <c r="AG23" i="53"/>
  <c r="AA21" i="57"/>
  <c r="AE21" i="57" s="1"/>
  <c r="AF21" i="57" s="1"/>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s="1"/>
  <c r="U12" i="68" s="1"/>
  <c r="Q12" i="68"/>
  <c r="AH22" i="53"/>
  <c r="O23" i="57"/>
  <c r="R24" i="53"/>
  <c r="X24" i="53"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AK24" i="52" a="1"/>
  <c r="AK24" i="52" s="1"/>
  <c r="B26" i="53" s="1"/>
  <c r="K25" i="57"/>
  <c r="J25" i="57"/>
  <c r="E25" i="57"/>
  <c r="H25" i="57"/>
  <c r="F25" i="57"/>
  <c r="D25" i="57"/>
  <c r="G25" i="57"/>
  <c r="C25" i="57"/>
  <c r="I25" i="57"/>
  <c r="E25" i="53"/>
  <c r="C25" i="53"/>
  <c r="K25" i="53"/>
  <c r="I25" i="53"/>
  <c r="G25" i="53"/>
  <c r="L25" i="53"/>
  <c r="F25" i="53"/>
  <c r="P25" i="53"/>
  <c r="J25" i="53"/>
  <c r="H25" i="53"/>
  <c r="D25" i="53"/>
  <c r="AN24" i="55" a="1"/>
  <c r="AN24" i="55" s="1"/>
  <c r="B26" i="57" s="1"/>
  <c r="P26" i="57" s="1"/>
  <c r="L258" i="64"/>
  <c r="O258" i="64" s="1"/>
  <c r="P258" i="64" s="1"/>
  <c r="L259" i="64"/>
  <c r="O259" i="64" s="1"/>
  <c r="P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F11" i="63"/>
  <c r="F12" i="63"/>
  <c r="F13" i="63"/>
  <c r="F15" i="63"/>
  <c r="G15" i="63" s="1"/>
  <c r="V15" i="63" s="1"/>
  <c r="G16" i="63"/>
  <c r="V16" i="63" s="1"/>
  <c r="F17" i="63"/>
  <c r="G17" i="63" s="1"/>
  <c r="V17" i="63" s="1"/>
  <c r="F18" i="63"/>
  <c r="G18" i="63" s="1"/>
  <c r="V18" i="63" s="1"/>
  <c r="F19" i="63"/>
  <c r="G19" i="63" s="1"/>
  <c r="V19" i="63" s="1"/>
  <c r="F20" i="63"/>
  <c r="G20" i="63" s="1"/>
  <c r="V20" i="63" s="1"/>
  <c r="F21" i="63"/>
  <c r="G21" i="63" s="1"/>
  <c r="V21" i="63" s="1"/>
  <c r="F22" i="63"/>
  <c r="G22" i="63" s="1"/>
  <c r="V22" i="63" s="1"/>
  <c r="F23" i="63"/>
  <c r="G23" i="63" s="1"/>
  <c r="V23" i="63" s="1"/>
  <c r="F24" i="63"/>
  <c r="G24" i="63" s="1"/>
  <c r="V24" i="63" s="1"/>
  <c r="F25" i="63"/>
  <c r="G25" i="63" s="1"/>
  <c r="V25" i="63" s="1"/>
  <c r="F26" i="63"/>
  <c r="G26" i="63" s="1"/>
  <c r="V26" i="63" s="1"/>
  <c r="F27" i="63"/>
  <c r="G27" i="63" s="1"/>
  <c r="V27" i="63" s="1"/>
  <c r="F28" i="63"/>
  <c r="G28" i="63" s="1"/>
  <c r="V28" i="63" s="1"/>
  <c r="F29" i="63"/>
  <c r="G29" i="63" s="1"/>
  <c r="V29" i="63" s="1"/>
  <c r="F30" i="63"/>
  <c r="G30" i="63" s="1"/>
  <c r="V30" i="63" s="1"/>
  <c r="F31" i="63"/>
  <c r="G31" i="63" s="1"/>
  <c r="V31" i="63" s="1"/>
  <c r="F32" i="63"/>
  <c r="G32" i="63" s="1"/>
  <c r="V32" i="63" s="1"/>
  <c r="F33" i="63"/>
  <c r="G33" i="63" s="1"/>
  <c r="V33" i="63" s="1"/>
  <c r="F34" i="63"/>
  <c r="G34" i="63" s="1"/>
  <c r="V34" i="63" s="1"/>
  <c r="F35" i="63"/>
  <c r="G35" i="63" s="1"/>
  <c r="V35" i="63" s="1"/>
  <c r="F36" i="63"/>
  <c r="G36" i="63" s="1"/>
  <c r="V36" i="63" s="1"/>
  <c r="F37" i="63"/>
  <c r="G37" i="63" s="1"/>
  <c r="V37" i="63" s="1"/>
  <c r="F38" i="63"/>
  <c r="G38" i="63" s="1"/>
  <c r="V38" i="63" s="1"/>
  <c r="F39" i="63"/>
  <c r="G39" i="63" s="1"/>
  <c r="V39" i="63" s="1"/>
  <c r="F40" i="63"/>
  <c r="G40" i="63" s="1"/>
  <c r="V40" i="63" s="1"/>
  <c r="F41" i="63"/>
  <c r="G41" i="63" s="1"/>
  <c r="V41" i="63" s="1"/>
  <c r="F42" i="63"/>
  <c r="G42" i="63" s="1"/>
  <c r="V42" i="63" s="1"/>
  <c r="F43" i="63"/>
  <c r="G43" i="63" s="1"/>
  <c r="V43" i="63" s="1"/>
  <c r="F44" i="63"/>
  <c r="G44" i="63" s="1"/>
  <c r="V44" i="63" s="1"/>
  <c r="F45" i="63"/>
  <c r="G45" i="63" s="1"/>
  <c r="V45" i="63" s="1"/>
  <c r="F46" i="63"/>
  <c r="G46" i="63" s="1"/>
  <c r="V46" i="63" s="1"/>
  <c r="F47" i="63"/>
  <c r="G47" i="63" s="1"/>
  <c r="V47" i="63" s="1"/>
  <c r="F48" i="63"/>
  <c r="G48" i="63" s="1"/>
  <c r="V48" i="63" s="1"/>
  <c r="F49" i="63"/>
  <c r="G49" i="63" s="1"/>
  <c r="V49" i="63" s="1"/>
  <c r="F50" i="63"/>
  <c r="G50" i="63" s="1"/>
  <c r="V50" i="63" s="1"/>
  <c r="F51" i="63"/>
  <c r="G51" i="63" s="1"/>
  <c r="V51" i="63" s="1"/>
  <c r="F52" i="63"/>
  <c r="G52" i="63" s="1"/>
  <c r="V52" i="63" s="1"/>
  <c r="F53" i="63"/>
  <c r="G53" i="63" s="1"/>
  <c r="V53" i="63" s="1"/>
  <c r="F54" i="63"/>
  <c r="G54" i="63" s="1"/>
  <c r="V54" i="63" s="1"/>
  <c r="F55" i="63"/>
  <c r="G55" i="63" s="1"/>
  <c r="V55" i="63" s="1"/>
  <c r="F56" i="63"/>
  <c r="G56" i="63" s="1"/>
  <c r="V56" i="63" s="1"/>
  <c r="F57" i="63"/>
  <c r="G57" i="63" s="1"/>
  <c r="V57" i="63" s="1"/>
  <c r="F58" i="63"/>
  <c r="G58" i="63" s="1"/>
  <c r="V58" i="63" s="1"/>
  <c r="F59" i="63"/>
  <c r="G59" i="63" s="1"/>
  <c r="V59" i="63" s="1"/>
  <c r="F60" i="63"/>
  <c r="G60" i="63" s="1"/>
  <c r="V60" i="63" s="1"/>
  <c r="F61" i="63"/>
  <c r="G61" i="63" s="1"/>
  <c r="V61" i="63" s="1"/>
  <c r="F62" i="63"/>
  <c r="G62" i="63" s="1"/>
  <c r="V62" i="63" s="1"/>
  <c r="F63" i="63"/>
  <c r="G63" i="63" s="1"/>
  <c r="V63" i="63" s="1"/>
  <c r="F64" i="63"/>
  <c r="G64" i="63" s="1"/>
  <c r="V64" i="63" s="1"/>
  <c r="F65" i="63"/>
  <c r="G65" i="63" s="1"/>
  <c r="V65" i="63" s="1"/>
  <c r="F66" i="63"/>
  <c r="G66" i="63" s="1"/>
  <c r="V66" i="63" s="1"/>
  <c r="F67" i="63"/>
  <c r="G67" i="63" s="1"/>
  <c r="V67" i="63" s="1"/>
  <c r="F68" i="63"/>
  <c r="G68" i="63" s="1"/>
  <c r="V68" i="63" s="1"/>
  <c r="F69" i="63"/>
  <c r="G69" i="63" s="1"/>
  <c r="V69" i="63" s="1"/>
  <c r="F70" i="63"/>
  <c r="G70" i="63" s="1"/>
  <c r="V70" i="63" s="1"/>
  <c r="F71" i="63"/>
  <c r="G71" i="63" s="1"/>
  <c r="V71" i="63" s="1"/>
  <c r="F72" i="63"/>
  <c r="G72" i="63" s="1"/>
  <c r="V72" i="63" s="1"/>
  <c r="F73" i="63"/>
  <c r="G73" i="63" s="1"/>
  <c r="V73" i="63" s="1"/>
  <c r="F74" i="63"/>
  <c r="G74" i="63" s="1"/>
  <c r="V74" i="63" s="1"/>
  <c r="F75" i="63"/>
  <c r="G75" i="63" s="1"/>
  <c r="V75" i="63" s="1"/>
  <c r="F76" i="63"/>
  <c r="G76" i="63" s="1"/>
  <c r="V76" i="63" s="1"/>
  <c r="F77" i="63"/>
  <c r="G77" i="63" s="1"/>
  <c r="V77" i="63" s="1"/>
  <c r="F78" i="63"/>
  <c r="G78" i="63" s="1"/>
  <c r="V78" i="63" s="1"/>
  <c r="F79" i="63"/>
  <c r="G79" i="63" s="1"/>
  <c r="V79" i="63" s="1"/>
  <c r="F80" i="63"/>
  <c r="G80" i="63" s="1"/>
  <c r="V80" i="63" s="1"/>
  <c r="F81" i="63"/>
  <c r="G81" i="63" s="1"/>
  <c r="V81" i="63" s="1"/>
  <c r="F82" i="63"/>
  <c r="G82" i="63" s="1"/>
  <c r="V82" i="63" s="1"/>
  <c r="F83" i="63"/>
  <c r="G83" i="63" s="1"/>
  <c r="V83" i="63" s="1"/>
  <c r="F84" i="63"/>
  <c r="G84" i="63" s="1"/>
  <c r="V84" i="63" s="1"/>
  <c r="F85" i="63"/>
  <c r="G85" i="63" s="1"/>
  <c r="V85" i="63" s="1"/>
  <c r="F86" i="63"/>
  <c r="G86" i="63" s="1"/>
  <c r="V86" i="63" s="1"/>
  <c r="F87" i="63"/>
  <c r="G87" i="63" s="1"/>
  <c r="V87" i="63" s="1"/>
  <c r="F88" i="63"/>
  <c r="G88" i="63" s="1"/>
  <c r="V88" i="63" s="1"/>
  <c r="F89" i="63"/>
  <c r="G89" i="63" s="1"/>
  <c r="V89" i="63" s="1"/>
  <c r="F90" i="63"/>
  <c r="G90" i="63" s="1"/>
  <c r="V90" i="63" s="1"/>
  <c r="F91" i="63"/>
  <c r="G91" i="63" s="1"/>
  <c r="V91" i="63" s="1"/>
  <c r="F92" i="63"/>
  <c r="G92" i="63" s="1"/>
  <c r="V92" i="63" s="1"/>
  <c r="F93" i="63"/>
  <c r="G93" i="63" s="1"/>
  <c r="V93" i="63" s="1"/>
  <c r="F94" i="63"/>
  <c r="G94" i="63" s="1"/>
  <c r="V94" i="63" s="1"/>
  <c r="F95" i="63"/>
  <c r="G95" i="63" s="1"/>
  <c r="V95" i="63" s="1"/>
  <c r="F96" i="63"/>
  <c r="G96" i="63" s="1"/>
  <c r="V96" i="63" s="1"/>
  <c r="F97" i="63"/>
  <c r="G97" i="63" s="1"/>
  <c r="V97" i="63" s="1"/>
  <c r="F98" i="63"/>
  <c r="G98" i="63" s="1"/>
  <c r="V98" i="63" s="1"/>
  <c r="F99" i="63"/>
  <c r="G99" i="63" s="1"/>
  <c r="V99" i="63" s="1"/>
  <c r="F100" i="63"/>
  <c r="G100" i="63" s="1"/>
  <c r="V100" i="63" s="1"/>
  <c r="F101" i="63"/>
  <c r="G101" i="63" s="1"/>
  <c r="V101" i="63" s="1"/>
  <c r="F102" i="63"/>
  <c r="G102" i="63" s="1"/>
  <c r="V102" i="63" s="1"/>
  <c r="F103" i="63"/>
  <c r="G103" i="63" s="1"/>
  <c r="V103" i="63" s="1"/>
  <c r="F104" i="63"/>
  <c r="G104" i="63" s="1"/>
  <c r="V104" i="63" s="1"/>
  <c r="F105" i="63"/>
  <c r="G105" i="63" s="1"/>
  <c r="V105" i="63" s="1"/>
  <c r="F106" i="63"/>
  <c r="G106" i="63" s="1"/>
  <c r="V106" i="63" s="1"/>
  <c r="F107" i="63"/>
  <c r="G107" i="63" s="1"/>
  <c r="V107" i="63" s="1"/>
  <c r="F108" i="63"/>
  <c r="G108" i="63" s="1"/>
  <c r="V108" i="63" s="1"/>
  <c r="F109" i="63"/>
  <c r="G109" i="63" s="1"/>
  <c r="V109" i="63" s="1"/>
  <c r="F110" i="63"/>
  <c r="G110" i="63" s="1"/>
  <c r="V110" i="63" s="1"/>
  <c r="F111" i="63"/>
  <c r="G111" i="63" s="1"/>
  <c r="V111" i="63" s="1"/>
  <c r="F112" i="63"/>
  <c r="G112" i="63" s="1"/>
  <c r="V112" i="63" s="1"/>
  <c r="F113" i="63"/>
  <c r="G113" i="63" s="1"/>
  <c r="V113" i="63" s="1"/>
  <c r="F114" i="63"/>
  <c r="G114" i="63" s="1"/>
  <c r="V114" i="63" s="1"/>
  <c r="F115" i="63"/>
  <c r="G115" i="63" s="1"/>
  <c r="V115" i="63" s="1"/>
  <c r="F116" i="63"/>
  <c r="G116" i="63" s="1"/>
  <c r="V116" i="63" s="1"/>
  <c r="F117" i="63"/>
  <c r="G117" i="63" s="1"/>
  <c r="V117" i="63" s="1"/>
  <c r="F118" i="63"/>
  <c r="G118" i="63" s="1"/>
  <c r="V118" i="63" s="1"/>
  <c r="F119" i="63"/>
  <c r="G119" i="63" s="1"/>
  <c r="V119" i="63" s="1"/>
  <c r="F120" i="63"/>
  <c r="G120" i="63" s="1"/>
  <c r="V120" i="63" s="1"/>
  <c r="F121" i="63"/>
  <c r="G121" i="63" s="1"/>
  <c r="V121" i="63" s="1"/>
  <c r="F122" i="63"/>
  <c r="G122" i="63" s="1"/>
  <c r="V122" i="63" s="1"/>
  <c r="F123" i="63"/>
  <c r="G123" i="63" s="1"/>
  <c r="V123" i="63" s="1"/>
  <c r="F124" i="63"/>
  <c r="G124" i="63" s="1"/>
  <c r="V124" i="63" s="1"/>
  <c r="F125" i="63"/>
  <c r="G125" i="63" s="1"/>
  <c r="V125" i="63" s="1"/>
  <c r="F126" i="63"/>
  <c r="G126" i="63" s="1"/>
  <c r="V126" i="63" s="1"/>
  <c r="F127" i="63"/>
  <c r="G127" i="63" s="1"/>
  <c r="V127" i="63" s="1"/>
  <c r="F128" i="63"/>
  <c r="G128" i="63" s="1"/>
  <c r="V128" i="63" s="1"/>
  <c r="F129" i="63"/>
  <c r="G129" i="63" s="1"/>
  <c r="V129" i="63" s="1"/>
  <c r="F130" i="63"/>
  <c r="G130" i="63" s="1"/>
  <c r="V130" i="63" s="1"/>
  <c r="F131" i="63"/>
  <c r="G131" i="63" s="1"/>
  <c r="V131" i="63" s="1"/>
  <c r="F132" i="63"/>
  <c r="G132" i="63" s="1"/>
  <c r="V132" i="63" s="1"/>
  <c r="F133" i="63"/>
  <c r="G133" i="63" s="1"/>
  <c r="V133" i="63" s="1"/>
  <c r="F134" i="63"/>
  <c r="G134" i="63" s="1"/>
  <c r="V134" i="63" s="1"/>
  <c r="F135" i="63"/>
  <c r="G135" i="63" s="1"/>
  <c r="V135" i="63" s="1"/>
  <c r="F136" i="63"/>
  <c r="G136" i="63" s="1"/>
  <c r="V136" i="63" s="1"/>
  <c r="F137" i="63"/>
  <c r="G137" i="63" s="1"/>
  <c r="V137" i="63" s="1"/>
  <c r="F138" i="63"/>
  <c r="G138" i="63" s="1"/>
  <c r="V138" i="63" s="1"/>
  <c r="F139" i="63"/>
  <c r="G139" i="63" s="1"/>
  <c r="V139" i="63" s="1"/>
  <c r="F140" i="63"/>
  <c r="G140" i="63" s="1"/>
  <c r="V140" i="63" s="1"/>
  <c r="F141" i="63"/>
  <c r="G141" i="63" s="1"/>
  <c r="V141" i="63" s="1"/>
  <c r="F142" i="63"/>
  <c r="G142" i="63" s="1"/>
  <c r="V142" i="63" s="1"/>
  <c r="F143" i="63"/>
  <c r="G143" i="63" s="1"/>
  <c r="V143" i="63" s="1"/>
  <c r="F144" i="63"/>
  <c r="G144" i="63" s="1"/>
  <c r="V144" i="63" s="1"/>
  <c r="F145" i="63"/>
  <c r="G145" i="63" s="1"/>
  <c r="V145" i="63" s="1"/>
  <c r="F146" i="63"/>
  <c r="G146" i="63" s="1"/>
  <c r="V146" i="63" s="1"/>
  <c r="F147" i="63"/>
  <c r="G147" i="63" s="1"/>
  <c r="V147" i="63" s="1"/>
  <c r="F148" i="63"/>
  <c r="G148" i="63" s="1"/>
  <c r="V148" i="63" s="1"/>
  <c r="F149" i="63"/>
  <c r="G149" i="63" s="1"/>
  <c r="V149" i="63" s="1"/>
  <c r="F150" i="63"/>
  <c r="G150" i="63" s="1"/>
  <c r="V150" i="63" s="1"/>
  <c r="F151" i="63"/>
  <c r="G151" i="63" s="1"/>
  <c r="V151" i="63" s="1"/>
  <c r="F152" i="63"/>
  <c r="G152" i="63" s="1"/>
  <c r="V152" i="63" s="1"/>
  <c r="F153" i="63"/>
  <c r="G153" i="63" s="1"/>
  <c r="V153" i="63" s="1"/>
  <c r="F154" i="63"/>
  <c r="G154" i="63" s="1"/>
  <c r="V154" i="63" s="1"/>
  <c r="F155" i="63"/>
  <c r="G155" i="63" s="1"/>
  <c r="V155" i="63" s="1"/>
  <c r="F156" i="63"/>
  <c r="G156" i="63" s="1"/>
  <c r="V156" i="63" s="1"/>
  <c r="F157" i="63"/>
  <c r="G157" i="63" s="1"/>
  <c r="V157" i="63" s="1"/>
  <c r="F158" i="63"/>
  <c r="G158" i="63" s="1"/>
  <c r="V158" i="63" s="1"/>
  <c r="F159" i="63"/>
  <c r="G159" i="63" s="1"/>
  <c r="V159" i="63" s="1"/>
  <c r="F160" i="63"/>
  <c r="G160" i="63" s="1"/>
  <c r="V160" i="63" s="1"/>
  <c r="F161" i="63"/>
  <c r="G161" i="63" s="1"/>
  <c r="V161" i="63" s="1"/>
  <c r="F162" i="63"/>
  <c r="G162" i="63" s="1"/>
  <c r="V162" i="63" s="1"/>
  <c r="F163" i="63"/>
  <c r="G163" i="63" s="1"/>
  <c r="V163" i="63" s="1"/>
  <c r="F164" i="63"/>
  <c r="G164" i="63" s="1"/>
  <c r="V164" i="63" s="1"/>
  <c r="F165" i="63"/>
  <c r="G165" i="63" s="1"/>
  <c r="V165" i="63" s="1"/>
  <c r="F166" i="63"/>
  <c r="G166" i="63" s="1"/>
  <c r="V166" i="63" s="1"/>
  <c r="F167" i="63"/>
  <c r="G167" i="63" s="1"/>
  <c r="V167" i="63" s="1"/>
  <c r="F168" i="63"/>
  <c r="G168" i="63" s="1"/>
  <c r="V168" i="63" s="1"/>
  <c r="F169" i="63"/>
  <c r="G169" i="63" s="1"/>
  <c r="V169" i="63" s="1"/>
  <c r="F170" i="63"/>
  <c r="G170" i="63" s="1"/>
  <c r="V170" i="63" s="1"/>
  <c r="F171" i="63"/>
  <c r="G171" i="63" s="1"/>
  <c r="V171" i="63" s="1"/>
  <c r="F172" i="63"/>
  <c r="G172" i="63" s="1"/>
  <c r="V172" i="63" s="1"/>
  <c r="F173" i="63"/>
  <c r="G173" i="63" s="1"/>
  <c r="V173" i="63" s="1"/>
  <c r="F174" i="63"/>
  <c r="G174" i="63" s="1"/>
  <c r="V174" i="63" s="1"/>
  <c r="F175" i="63"/>
  <c r="G175" i="63" s="1"/>
  <c r="V175" i="63" s="1"/>
  <c r="F176" i="63"/>
  <c r="G176" i="63" s="1"/>
  <c r="V176" i="63" s="1"/>
  <c r="F177" i="63"/>
  <c r="G177" i="63" s="1"/>
  <c r="V177" i="63" s="1"/>
  <c r="F178" i="63"/>
  <c r="G178" i="63" s="1"/>
  <c r="V178" i="63" s="1"/>
  <c r="F179" i="63"/>
  <c r="G179" i="63" s="1"/>
  <c r="V179" i="63" s="1"/>
  <c r="F180" i="63"/>
  <c r="G180" i="63" s="1"/>
  <c r="V180" i="63" s="1"/>
  <c r="F181" i="63"/>
  <c r="G181" i="63" s="1"/>
  <c r="V181" i="63" s="1"/>
  <c r="F182" i="63"/>
  <c r="G182" i="63" s="1"/>
  <c r="V182" i="63" s="1"/>
  <c r="F183" i="63"/>
  <c r="G183" i="63" s="1"/>
  <c r="V183" i="63" s="1"/>
  <c r="F184" i="63"/>
  <c r="G184" i="63" s="1"/>
  <c r="V184" i="63" s="1"/>
  <c r="F185" i="63"/>
  <c r="G185" i="63" s="1"/>
  <c r="V185" i="63" s="1"/>
  <c r="F186" i="63"/>
  <c r="G186" i="63" s="1"/>
  <c r="V186" i="63" s="1"/>
  <c r="F187" i="63"/>
  <c r="G187" i="63" s="1"/>
  <c r="V187" i="63" s="1"/>
  <c r="F188" i="63"/>
  <c r="G188" i="63" s="1"/>
  <c r="V188" i="63" s="1"/>
  <c r="F189" i="63"/>
  <c r="G189" i="63" s="1"/>
  <c r="V189" i="63" s="1"/>
  <c r="F190" i="63"/>
  <c r="G190" i="63" s="1"/>
  <c r="V190" i="63" s="1"/>
  <c r="F191" i="63"/>
  <c r="G191" i="63" s="1"/>
  <c r="V191" i="63" s="1"/>
  <c r="F192" i="63"/>
  <c r="G192" i="63" s="1"/>
  <c r="V192" i="63" s="1"/>
  <c r="F193" i="63"/>
  <c r="G193" i="63" s="1"/>
  <c r="V193" i="63" s="1"/>
  <c r="F194" i="63"/>
  <c r="G194" i="63" s="1"/>
  <c r="V194" i="63" s="1"/>
  <c r="F195" i="63"/>
  <c r="G195" i="63" s="1"/>
  <c r="V195" i="63" s="1"/>
  <c r="F196" i="63"/>
  <c r="G196" i="63" s="1"/>
  <c r="V196" i="63" s="1"/>
  <c r="F197" i="63"/>
  <c r="G197" i="63" s="1"/>
  <c r="V197" i="63" s="1"/>
  <c r="F198" i="63"/>
  <c r="G198" i="63" s="1"/>
  <c r="V198" i="63" s="1"/>
  <c r="F199" i="63"/>
  <c r="G199" i="63" s="1"/>
  <c r="V199" i="63" s="1"/>
  <c r="F200" i="63"/>
  <c r="G200" i="63" s="1"/>
  <c r="V200" i="63" s="1"/>
  <c r="F201" i="63"/>
  <c r="G201" i="63" s="1"/>
  <c r="V201" i="63" s="1"/>
  <c r="F202" i="63"/>
  <c r="G202" i="63" s="1"/>
  <c r="V202" i="63" s="1"/>
  <c r="F203" i="63"/>
  <c r="G203" i="63" s="1"/>
  <c r="V203" i="63" s="1"/>
  <c r="F204" i="63"/>
  <c r="G204" i="63" s="1"/>
  <c r="V204" i="63" s="1"/>
  <c r="F205" i="63"/>
  <c r="G205" i="63" s="1"/>
  <c r="V205" i="63" s="1"/>
  <c r="F206" i="63"/>
  <c r="G206" i="63" s="1"/>
  <c r="V206" i="63" s="1"/>
  <c r="F207" i="63"/>
  <c r="G207" i="63" s="1"/>
  <c r="V207" i="63" s="1"/>
  <c r="F208" i="63"/>
  <c r="G208" i="63" s="1"/>
  <c r="V208" i="63" s="1"/>
  <c r="F209" i="63"/>
  <c r="G209" i="63" s="1"/>
  <c r="V209" i="63" s="1"/>
  <c r="F210" i="63"/>
  <c r="G210" i="63" s="1"/>
  <c r="V210" i="63" s="1"/>
  <c r="F211" i="63"/>
  <c r="G211" i="63" s="1"/>
  <c r="V211" i="63" s="1"/>
  <c r="F212" i="63"/>
  <c r="G212" i="63" s="1"/>
  <c r="V212" i="63" s="1"/>
  <c r="F213" i="63"/>
  <c r="G213" i="63" s="1"/>
  <c r="V213" i="63" s="1"/>
  <c r="F214" i="63"/>
  <c r="G214" i="63" s="1"/>
  <c r="V214" i="63" s="1"/>
  <c r="F215" i="63"/>
  <c r="G215" i="63" s="1"/>
  <c r="V215" i="63" s="1"/>
  <c r="F216" i="63"/>
  <c r="G216" i="63" s="1"/>
  <c r="V216" i="63" s="1"/>
  <c r="F217" i="63"/>
  <c r="G217" i="63" s="1"/>
  <c r="V217" i="63" s="1"/>
  <c r="F218" i="63"/>
  <c r="G218" i="63" s="1"/>
  <c r="V218" i="63" s="1"/>
  <c r="F219" i="63"/>
  <c r="G219" i="63" s="1"/>
  <c r="V219" i="63" s="1"/>
  <c r="F220" i="63"/>
  <c r="G220" i="63" s="1"/>
  <c r="V220" i="63" s="1"/>
  <c r="F221" i="63"/>
  <c r="G221" i="63" s="1"/>
  <c r="V221" i="63" s="1"/>
  <c r="F222" i="63"/>
  <c r="G222" i="63" s="1"/>
  <c r="V222" i="63" s="1"/>
  <c r="F223" i="63"/>
  <c r="G223" i="63" s="1"/>
  <c r="V223" i="63" s="1"/>
  <c r="F224" i="63"/>
  <c r="G224" i="63" s="1"/>
  <c r="V224" i="63" s="1"/>
  <c r="F225" i="63"/>
  <c r="G225" i="63" s="1"/>
  <c r="V225" i="63" s="1"/>
  <c r="F226" i="63"/>
  <c r="G226" i="63" s="1"/>
  <c r="V226" i="63" s="1"/>
  <c r="F227" i="63"/>
  <c r="G227" i="63" s="1"/>
  <c r="V227" i="63" s="1"/>
  <c r="F228" i="63"/>
  <c r="G228" i="63" s="1"/>
  <c r="V228" i="63" s="1"/>
  <c r="F229" i="63"/>
  <c r="G229" i="63" s="1"/>
  <c r="V229" i="63" s="1"/>
  <c r="F230" i="63"/>
  <c r="G230" i="63" s="1"/>
  <c r="V230" i="63" s="1"/>
  <c r="F231" i="63"/>
  <c r="G231" i="63" s="1"/>
  <c r="V231" i="63" s="1"/>
  <c r="F232" i="63"/>
  <c r="G232" i="63" s="1"/>
  <c r="V232" i="63" s="1"/>
  <c r="F233" i="63"/>
  <c r="G233" i="63" s="1"/>
  <c r="V233" i="63" s="1"/>
  <c r="F234" i="63"/>
  <c r="G234" i="63" s="1"/>
  <c r="V234" i="63" s="1"/>
  <c r="F235" i="63"/>
  <c r="G235" i="63" s="1"/>
  <c r="V235" i="63" s="1"/>
  <c r="F236" i="63"/>
  <c r="G236" i="63" s="1"/>
  <c r="V236" i="63" s="1"/>
  <c r="F237" i="63"/>
  <c r="G237" i="63" s="1"/>
  <c r="V237" i="63" s="1"/>
  <c r="F238" i="63"/>
  <c r="G238" i="63" s="1"/>
  <c r="V238" i="63" s="1"/>
  <c r="F239" i="63"/>
  <c r="G239" i="63" s="1"/>
  <c r="V239" i="63" s="1"/>
  <c r="F240" i="63"/>
  <c r="G240" i="63" s="1"/>
  <c r="V240" i="63" s="1"/>
  <c r="F241" i="63"/>
  <c r="G241" i="63" s="1"/>
  <c r="V241" i="63" s="1"/>
  <c r="F242" i="63"/>
  <c r="G242" i="63" s="1"/>
  <c r="V242" i="63" s="1"/>
  <c r="F243" i="63"/>
  <c r="G243" i="63" s="1"/>
  <c r="V243" i="63" s="1"/>
  <c r="F244" i="63"/>
  <c r="G244" i="63" s="1"/>
  <c r="V244" i="63" s="1"/>
  <c r="F245" i="63"/>
  <c r="G245" i="63" s="1"/>
  <c r="V245" i="63" s="1"/>
  <c r="F246" i="63"/>
  <c r="G246" i="63" s="1"/>
  <c r="V246" i="63" s="1"/>
  <c r="F247" i="63"/>
  <c r="G247" i="63" s="1"/>
  <c r="V247" i="63" s="1"/>
  <c r="F248" i="63"/>
  <c r="G248" i="63" s="1"/>
  <c r="V248" i="63" s="1"/>
  <c r="F249" i="63"/>
  <c r="G249" i="63" s="1"/>
  <c r="V249" i="63" s="1"/>
  <c r="F250" i="63"/>
  <c r="G250" i="63" s="1"/>
  <c r="V250" i="63" s="1"/>
  <c r="F251" i="63"/>
  <c r="G251" i="63" s="1"/>
  <c r="V251" i="63" s="1"/>
  <c r="F252" i="63"/>
  <c r="G252" i="63" s="1"/>
  <c r="V252" i="63" s="1"/>
  <c r="F253" i="63"/>
  <c r="G253" i="63" s="1"/>
  <c r="V253" i="63" s="1"/>
  <c r="F254" i="63"/>
  <c r="G254" i="63" s="1"/>
  <c r="V254" i="63" s="1"/>
  <c r="F255" i="63"/>
  <c r="G255" i="63" s="1"/>
  <c r="V255" i="63" s="1"/>
  <c r="F256" i="63"/>
  <c r="G256" i="63" s="1"/>
  <c r="V256" i="63" s="1"/>
  <c r="F257" i="63"/>
  <c r="G257" i="63" s="1"/>
  <c r="V257" i="63" s="1"/>
  <c r="F10" i="63"/>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I19" i="63"/>
  <c r="AJ18" i="63"/>
  <c r="AI18" i="63"/>
  <c r="AJ17" i="63"/>
  <c r="AI17" i="63"/>
  <c r="AJ16" i="63"/>
  <c r="AI16" i="63"/>
  <c r="AJ15" i="63"/>
  <c r="AI15" i="63"/>
  <c r="AJ13" i="63"/>
  <c r="AI13" i="63"/>
  <c r="AJ12" i="63"/>
  <c r="AI12" i="63"/>
  <c r="AJ11" i="63"/>
  <c r="AI11" i="63"/>
  <c r="AJ10" i="63"/>
  <c r="AI10" i="63"/>
  <c r="B3" i="63"/>
  <c r="AZ10" i="67" l="1"/>
  <c r="Y10" i="67"/>
  <c r="AE13" i="63"/>
  <c r="AD13" i="63"/>
  <c r="AE12" i="63"/>
  <c r="AD12" i="63"/>
  <c r="AD11" i="63"/>
  <c r="AE11" i="63"/>
  <c r="AD10" i="63"/>
  <c r="AE10" i="63"/>
  <c r="R10" i="67"/>
  <c r="U10" i="67"/>
  <c r="T173" i="22" s="1"/>
  <c r="D184" i="36" s="1"/>
  <c r="AE18" i="63"/>
  <c r="AD18" i="63"/>
  <c r="AE17" i="63"/>
  <c r="AD17" i="63"/>
  <c r="AE16" i="63"/>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56" i="63"/>
  <c r="AD256" i="63"/>
  <c r="AD248" i="63"/>
  <c r="AE248" i="63"/>
  <c r="AE240" i="63"/>
  <c r="AD240" i="63"/>
  <c r="AD232" i="63"/>
  <c r="AE232" i="63"/>
  <c r="AE224" i="63"/>
  <c r="AD224" i="63"/>
  <c r="AD216" i="63"/>
  <c r="AE216" i="63"/>
  <c r="AE208" i="63"/>
  <c r="AD208" i="63"/>
  <c r="AE200" i="63"/>
  <c r="AD200" i="63"/>
  <c r="AE192" i="63"/>
  <c r="AD192" i="63"/>
  <c r="AD184" i="63"/>
  <c r="AE184" i="63"/>
  <c r="AE176" i="63"/>
  <c r="AD176" i="63"/>
  <c r="AD168" i="63"/>
  <c r="AE168" i="63"/>
  <c r="AE160" i="63"/>
  <c r="AD160" i="63"/>
  <c r="AD152" i="63"/>
  <c r="AE152" i="63"/>
  <c r="AE144" i="63"/>
  <c r="AD144" i="63"/>
  <c r="AD136" i="63"/>
  <c r="AE136" i="63"/>
  <c r="AE128" i="63"/>
  <c r="AD128" i="63"/>
  <c r="AD120" i="63"/>
  <c r="AE120" i="63"/>
  <c r="AE112" i="63"/>
  <c r="AD112" i="63"/>
  <c r="AD104" i="63"/>
  <c r="AE104" i="63"/>
  <c r="AD96" i="63"/>
  <c r="AE96" i="63"/>
  <c r="AE88" i="63"/>
  <c r="AD88" i="63"/>
  <c r="AE80" i="63"/>
  <c r="AD80" i="63"/>
  <c r="AD72" i="63"/>
  <c r="AE72" i="63"/>
  <c r="AE64" i="63"/>
  <c r="AD64" i="63"/>
  <c r="AD56" i="63"/>
  <c r="AE56" i="63"/>
  <c r="AE48" i="63"/>
  <c r="AD48" i="63"/>
  <c r="AD40" i="63"/>
  <c r="AE40" i="63"/>
  <c r="AD32" i="63"/>
  <c r="AE32" i="63"/>
  <c r="AD24" i="63"/>
  <c r="AE24"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s="1"/>
  <c r="X13" i="63"/>
  <c r="G12" i="63"/>
  <c r="V12" i="63" s="1"/>
  <c r="X12" i="63"/>
  <c r="AB23" i="53"/>
  <c r="AG23" i="57"/>
  <c r="X23" i="57"/>
  <c r="AB23" i="57" s="1"/>
  <c r="G11" i="63"/>
  <c r="V11" i="63" s="1"/>
  <c r="X11" i="63"/>
  <c r="M26" i="53"/>
  <c r="AC26" i="53" s="1"/>
  <c r="O26" i="53"/>
  <c r="X10" i="63"/>
  <c r="AD24" i="57"/>
  <c r="Q24" i="57"/>
  <c r="T24" i="57" s="1"/>
  <c r="AQ24" i="57"/>
  <c r="R24" i="57"/>
  <c r="M25" i="57"/>
  <c r="AK25" i="57" s="1"/>
  <c r="P12" i="64"/>
  <c r="Q12" i="64" s="1"/>
  <c r="AB40" i="68"/>
  <c r="AB215" i="68"/>
  <c r="AB77" i="68"/>
  <c r="AB104" i="68"/>
  <c r="AB24" i="53"/>
  <c r="AA24" i="53"/>
  <c r="N26" i="53"/>
  <c r="AB128" i="68"/>
  <c r="AB192" i="68"/>
  <c r="AB239" i="68"/>
  <c r="AB256" i="68"/>
  <c r="AB23" i="68"/>
  <c r="Q21" i="68"/>
  <c r="S21" i="68"/>
  <c r="T21" i="68" s="1"/>
  <c r="U21" i="68" s="1"/>
  <c r="Q20" i="68"/>
  <c r="S20" i="68"/>
  <c r="T20" i="68" s="1"/>
  <c r="U20" i="68" s="1"/>
  <c r="Q19" i="68"/>
  <c r="S19" i="68"/>
  <c r="T19" i="68" s="1"/>
  <c r="U19" i="68" s="1"/>
  <c r="Q18" i="68"/>
  <c r="S18" i="68"/>
  <c r="T18" i="68" s="1"/>
  <c r="U18" i="68" s="1"/>
  <c r="Q17" i="68"/>
  <c r="S17" i="68"/>
  <c r="T17" i="68" s="1"/>
  <c r="U17" i="68" s="1"/>
  <c r="Q16" i="68"/>
  <c r="S16" i="68"/>
  <c r="T16" i="68" s="1"/>
  <c r="U16" i="68" s="1"/>
  <c r="Q15" i="68"/>
  <c r="S15" i="68"/>
  <c r="T15" i="68" s="1"/>
  <c r="U15" i="68" s="1"/>
  <c r="Q14" i="68"/>
  <c r="S14" i="68"/>
  <c r="T14" i="68" s="1"/>
  <c r="U14" i="68" s="1"/>
  <c r="V174" i="22"/>
  <c r="S21" i="64"/>
  <c r="T21" i="64" s="1"/>
  <c r="U21" i="64" s="1"/>
  <c r="S20" i="64"/>
  <c r="T20" i="64" s="1"/>
  <c r="U20" i="64" s="1"/>
  <c r="S19" i="64"/>
  <c r="T19" i="64" s="1"/>
  <c r="U19" i="64" s="1"/>
  <c r="S18" i="64"/>
  <c r="T18" i="64" s="1"/>
  <c r="U18" i="64" s="1"/>
  <c r="S17" i="64"/>
  <c r="T17" i="64" s="1"/>
  <c r="U17" i="64" s="1"/>
  <c r="S16" i="64"/>
  <c r="T16" i="64" s="1"/>
  <c r="U16" i="64" s="1"/>
  <c r="S15" i="64"/>
  <c r="T15" i="64" s="1"/>
  <c r="U15" i="64" s="1"/>
  <c r="S14" i="64"/>
  <c r="T14" i="64" s="1"/>
  <c r="U14" i="64" s="1"/>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AC21" i="57"/>
  <c r="AJ21" i="57" s="1"/>
  <c r="O24" i="57"/>
  <c r="N25" i="57"/>
  <c r="AT24" i="53"/>
  <c r="Q24" i="53"/>
  <c r="AD24" i="53"/>
  <c r="AA22" i="57"/>
  <c r="AE22" i="57" s="1"/>
  <c r="AF22" i="57" s="1"/>
  <c r="S44" i="64"/>
  <c r="T44" i="64" s="1"/>
  <c r="V173" i="22"/>
  <c r="S13" i="64"/>
  <c r="T13" i="64" s="1"/>
  <c r="U13" i="64" s="1"/>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3" i="63"/>
  <c r="W12" i="63"/>
  <c r="AE21" i="53"/>
  <c r="AF21" i="53" s="1"/>
  <c r="W248" i="63"/>
  <c r="R25" i="53"/>
  <c r="X25" i="53" s="1"/>
  <c r="G10" i="63"/>
  <c r="V10" i="63" s="1"/>
  <c r="L26" i="57"/>
  <c r="AT25" i="53"/>
  <c r="AD25" i="53"/>
  <c r="Q25" i="53"/>
  <c r="AK25" i="52" a="1"/>
  <c r="AK25" i="52" s="1"/>
  <c r="B27" i="53" s="1"/>
  <c r="G26" i="57"/>
  <c r="E26" i="57"/>
  <c r="D26" i="57"/>
  <c r="C26" i="57"/>
  <c r="K26" i="57"/>
  <c r="I26" i="57"/>
  <c r="H26" i="57"/>
  <c r="F26" i="57"/>
  <c r="J26" i="57"/>
  <c r="P26" i="53"/>
  <c r="L26" i="53"/>
  <c r="H26" i="53"/>
  <c r="D26" i="53"/>
  <c r="F26" i="53"/>
  <c r="I26" i="53"/>
  <c r="E26" i="53"/>
  <c r="K26" i="53"/>
  <c r="J26" i="53"/>
  <c r="G26" i="53"/>
  <c r="C26" i="53"/>
  <c r="AN25" i="55" a="1"/>
  <c r="AN25" i="55" s="1"/>
  <c r="B27" i="57" s="1"/>
  <c r="P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s="1"/>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s="1"/>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s="1"/>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s="1"/>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s="1"/>
  <c r="AQ11" i="67" s="1" a="1"/>
  <c r="AQ11" i="67" s="1"/>
  <c r="AQ12" i="67" s="1" a="1"/>
  <c r="AQ12" i="67" s="1"/>
  <c r="AR10" i="67" a="1"/>
  <c r="AR10" i="67" s="1"/>
  <c r="R11" i="63" l="1"/>
  <c r="R10" i="63"/>
  <c r="Y13" i="63"/>
  <c r="Y12" i="63"/>
  <c r="W11" i="63"/>
  <c r="T176" i="22"/>
  <c r="D187" i="36" s="1"/>
  <c r="AG24" i="57"/>
  <c r="X24" i="57"/>
  <c r="AB25" i="53"/>
  <c r="S12" i="64"/>
  <c r="T12" i="64" s="1"/>
  <c r="U12" i="64" s="1"/>
  <c r="Z12" i="64" s="1"/>
  <c r="M27" i="53"/>
  <c r="AC27" i="53" s="1"/>
  <c r="O27" i="53"/>
  <c r="AD25" i="57"/>
  <c r="R25" i="57"/>
  <c r="Q25" i="57"/>
  <c r="T25" i="57" s="1"/>
  <c r="AQ25" i="57"/>
  <c r="M26" i="57"/>
  <c r="AK26" i="57" s="1"/>
  <c r="AA25" i="53"/>
  <c r="N27" i="53"/>
  <c r="AB16" i="68"/>
  <c r="AB19" i="68"/>
  <c r="AB18" i="68"/>
  <c r="AB15" i="68"/>
  <c r="AB21" i="68"/>
  <c r="AB20" i="68"/>
  <c r="AB17" i="68"/>
  <c r="AB14" i="68"/>
  <c r="Z17" i="64"/>
  <c r="Z16" i="64"/>
  <c r="V2" i="64"/>
  <c r="AC22" i="57"/>
  <c r="AJ22" i="57" s="1"/>
  <c r="O25" i="57"/>
  <c r="N26" i="57"/>
  <c r="AG24" i="53"/>
  <c r="AH21" i="53"/>
  <c r="AE25" i="53"/>
  <c r="AF25" i="53" s="1"/>
  <c r="AE24" i="53"/>
  <c r="AF24" i="53" s="1"/>
  <c r="AE23" i="53"/>
  <c r="AF23" i="53" s="1"/>
  <c r="AA23" i="57"/>
  <c r="AE23" i="57" s="1"/>
  <c r="AF23" i="57" s="1"/>
  <c r="Z44" i="64"/>
  <c r="R26" i="53"/>
  <c r="X26" i="53" s="1"/>
  <c r="W10" i="63"/>
  <c r="Z15" i="64"/>
  <c r="Z14" i="64"/>
  <c r="Z13" i="64"/>
  <c r="L27" i="57"/>
  <c r="AT26" i="53"/>
  <c r="AD26" i="53"/>
  <c r="AK26" i="52" a="1"/>
  <c r="AK26" i="52" s="1"/>
  <c r="B28" i="53" s="1"/>
  <c r="Q26" i="53"/>
  <c r="H27" i="53"/>
  <c r="G27" i="53"/>
  <c r="P27" i="53"/>
  <c r="E27" i="53"/>
  <c r="D27" i="53"/>
  <c r="C27" i="53"/>
  <c r="L27" i="53"/>
  <c r="K27" i="53"/>
  <c r="I27" i="53"/>
  <c r="F27" i="53"/>
  <c r="J27" i="53"/>
  <c r="I27" i="57"/>
  <c r="F27" i="57"/>
  <c r="E27" i="57"/>
  <c r="C27" i="57"/>
  <c r="K27" i="57"/>
  <c r="J27" i="57"/>
  <c r="H27" i="57"/>
  <c r="D27" i="57"/>
  <c r="G27" i="57"/>
  <c r="AN26" i="55" a="1"/>
  <c r="AN26" i="55" s="1"/>
  <c r="B28" i="57" s="1"/>
  <c r="P28" i="57" s="1"/>
  <c r="AR11" i="67" a="1"/>
  <c r="AR11" i="67" s="1"/>
  <c r="B12" i="69"/>
  <c r="R258" i="67"/>
  <c r="L22" i="73" s="1"/>
  <c r="AQ13" i="67" a="1"/>
  <c r="AQ13" i="67" s="1"/>
  <c r="Y11" i="63" l="1"/>
  <c r="AA26" i="53"/>
  <c r="AG25" i="57"/>
  <c r="X25" i="57"/>
  <c r="Y10" i="63"/>
  <c r="M28" i="53"/>
  <c r="AC28" i="53" s="1"/>
  <c r="O28" i="53"/>
  <c r="AQ26" i="57"/>
  <c r="R26" i="57"/>
  <c r="Q26" i="57"/>
  <c r="T26" i="57" s="1"/>
  <c r="AD26" i="57"/>
  <c r="M27" i="57"/>
  <c r="AK27" i="57" s="1"/>
  <c r="AB26" i="53"/>
  <c r="N28" i="53"/>
  <c r="AC260" i="68"/>
  <c r="AB260" i="68"/>
  <c r="L12" i="69"/>
  <c r="L175" i="22"/>
  <c r="L174" i="22"/>
  <c r="AA24" i="57"/>
  <c r="AE24" i="57" s="1"/>
  <c r="AF24" i="57" s="1"/>
  <c r="AB24" i="57"/>
  <c r="AC24" i="57"/>
  <c r="AJ24" i="57" s="1"/>
  <c r="AC23" i="57"/>
  <c r="AJ23" i="57" s="1"/>
  <c r="O26" i="57"/>
  <c r="N27" i="57"/>
  <c r="AH24" i="53"/>
  <c r="AH23" i="53"/>
  <c r="AG25" i="53"/>
  <c r="AG26" i="53"/>
  <c r="L173" i="22"/>
  <c r="L172" i="22"/>
  <c r="L176" i="22"/>
  <c r="Z260" i="64"/>
  <c r="L28" i="57"/>
  <c r="P28" i="53"/>
  <c r="F28" i="53"/>
  <c r="K28" i="53"/>
  <c r="E28" i="53"/>
  <c r="I28" i="53"/>
  <c r="J28" i="53"/>
  <c r="G28" i="53"/>
  <c r="AK27" i="52" a="1"/>
  <c r="AK27" i="52" s="1"/>
  <c r="B29" i="53" s="1"/>
  <c r="C28" i="53"/>
  <c r="H28" i="53"/>
  <c r="D28" i="53"/>
  <c r="L28" i="53"/>
  <c r="I28" i="57"/>
  <c r="H28" i="57"/>
  <c r="G28" i="57"/>
  <c r="E28" i="57"/>
  <c r="D28" i="57"/>
  <c r="C28" i="57"/>
  <c r="K28" i="57"/>
  <c r="F28" i="57"/>
  <c r="J28" i="57"/>
  <c r="AN27" i="55" a="1"/>
  <c r="AN27" i="55" s="1"/>
  <c r="B29" i="57" s="1"/>
  <c r="P29" i="57" s="1"/>
  <c r="B13" i="69"/>
  <c r="L13" i="69" s="1"/>
  <c r="AR12" i="67" a="1"/>
  <c r="AR12" i="67" s="1"/>
  <c r="B14" i="69" s="1"/>
  <c r="L14" i="69" s="1"/>
  <c r="C12" i="69"/>
  <c r="AQ14" i="67" a="1"/>
  <c r="AQ14" i="67" s="1"/>
  <c r="AQ15" i="67" s="1" a="1"/>
  <c r="AQ15" i="67" s="1"/>
  <c r="L124" i="29"/>
  <c r="L123" i="29"/>
  <c r="M131" i="29"/>
  <c r="L131" i="29"/>
  <c r="M132" i="29"/>
  <c r="L132" i="29"/>
  <c r="M133" i="29"/>
  <c r="L133" i="29"/>
  <c r="N12" i="69" l="1"/>
  <c r="Q12" i="69" s="1"/>
  <c r="AG26" i="57"/>
  <c r="X26" i="57"/>
  <c r="Q27" i="57"/>
  <c r="T27" i="57" s="1"/>
  <c r="AD27" i="57"/>
  <c r="R27" i="57"/>
  <c r="M29" i="53"/>
  <c r="AC29" i="53" s="1"/>
  <c r="O29" i="53"/>
  <c r="AP12" i="69"/>
  <c r="AQ27" i="57"/>
  <c r="M28" i="57"/>
  <c r="AK28" i="57" s="1"/>
  <c r="N29" i="53"/>
  <c r="AA25" i="57"/>
  <c r="AE25" i="57" s="1"/>
  <c r="AF25" i="57" s="1"/>
  <c r="AB25" i="57"/>
  <c r="AC25" i="57"/>
  <c r="AJ25" i="57" s="1"/>
  <c r="O27" i="57"/>
  <c r="N28" i="57"/>
  <c r="AH25" i="53"/>
  <c r="AD27" i="53"/>
  <c r="Q27" i="53"/>
  <c r="AT27" i="53"/>
  <c r="R27" i="53"/>
  <c r="D116" i="22"/>
  <c r="L29" i="57"/>
  <c r="H29" i="53"/>
  <c r="F29" i="53"/>
  <c r="K29" i="53"/>
  <c r="C29" i="53"/>
  <c r="L29" i="53"/>
  <c r="G29" i="53"/>
  <c r="E29" i="53"/>
  <c r="D29" i="53"/>
  <c r="P29" i="53"/>
  <c r="AK28" i="52" a="1"/>
  <c r="AK28" i="52" s="1"/>
  <c r="B30" i="53" s="1"/>
  <c r="J29" i="53"/>
  <c r="I29" i="53"/>
  <c r="J29" i="57"/>
  <c r="G29" i="57"/>
  <c r="H29" i="57"/>
  <c r="D29" i="57"/>
  <c r="C29" i="57"/>
  <c r="F29" i="57"/>
  <c r="E29" i="57"/>
  <c r="K29" i="57"/>
  <c r="I29" i="57"/>
  <c r="AN28" i="55" a="1"/>
  <c r="AN28" i="55" s="1"/>
  <c r="B30" i="57" s="1"/>
  <c r="P30" i="57" s="1"/>
  <c r="AR13" i="67" a="1"/>
  <c r="AR13" i="67" s="1"/>
  <c r="D12" i="69"/>
  <c r="C14" i="69"/>
  <c r="P14" i="69" s="1"/>
  <c r="C13" i="69"/>
  <c r="P13" i="69" s="1"/>
  <c r="AQ16" i="67" a="1"/>
  <c r="AQ16" i="67" s="1"/>
  <c r="AQ17" i="67" s="1" a="1"/>
  <c r="AQ17" i="67" s="1"/>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s="1"/>
  <c r="D133" i="22"/>
  <c r="C133" i="22"/>
  <c r="B133" i="22"/>
  <c r="D132" i="22"/>
  <c r="C132" i="22"/>
  <c r="B132" i="22"/>
  <c r="A130" i="22"/>
  <c r="A129" i="22"/>
  <c r="B129" i="22"/>
  <c r="C129" i="22"/>
  <c r="F137" i="22" l="1"/>
  <c r="X137" i="22"/>
  <c r="T137" i="22"/>
  <c r="F139" i="22"/>
  <c r="X139" i="22"/>
  <c r="T139" i="22"/>
  <c r="X131" i="22"/>
  <c r="T131" i="22"/>
  <c r="X132" i="22"/>
  <c r="T132" i="22"/>
  <c r="T133" i="22"/>
  <c r="X133" i="22"/>
  <c r="F130" i="22"/>
  <c r="T130" i="22"/>
  <c r="X130" i="22"/>
  <c r="F136" i="22"/>
  <c r="T136" i="22"/>
  <c r="X136" i="22"/>
  <c r="F138" i="22"/>
  <c r="X138" i="22"/>
  <c r="T138" i="22"/>
  <c r="F140" i="22"/>
  <c r="X140" i="22"/>
  <c r="T140" i="22"/>
  <c r="F129" i="22"/>
  <c r="X129" i="22"/>
  <c r="T129" i="22"/>
  <c r="X27" i="53"/>
  <c r="AA27" i="53" s="1"/>
  <c r="AG27" i="57"/>
  <c r="X27" i="57"/>
  <c r="M30" i="53"/>
  <c r="AC30" i="53" s="1"/>
  <c r="O30" i="53"/>
  <c r="AE12" i="69"/>
  <c r="AH12" i="69" s="1"/>
  <c r="AP13" i="69"/>
  <c r="N13" i="69"/>
  <c r="AP14" i="69"/>
  <c r="N14" i="69"/>
  <c r="U14" i="69" s="1"/>
  <c r="AD28" i="57"/>
  <c r="Q28" i="57"/>
  <c r="T28" i="57" s="1"/>
  <c r="M29" i="57"/>
  <c r="AK29" i="57" s="1"/>
  <c r="AQ28" i="57"/>
  <c r="R28" i="57"/>
  <c r="N30" i="53"/>
  <c r="E136" i="22"/>
  <c r="AA26" i="57"/>
  <c r="AE26" i="57" s="1"/>
  <c r="AF26" i="57" s="1"/>
  <c r="AB26" i="57"/>
  <c r="AC26" i="57"/>
  <c r="AJ26" i="57" s="1"/>
  <c r="O28" i="57"/>
  <c r="N29" i="57"/>
  <c r="R28" i="53"/>
  <c r="AD28" i="53"/>
  <c r="AT28" i="53"/>
  <c r="AG27" i="53"/>
  <c r="Q28" i="53"/>
  <c r="AE26" i="53"/>
  <c r="AF26" i="53" s="1"/>
  <c r="U12" i="69"/>
  <c r="R29" i="53"/>
  <c r="AY12" i="69"/>
  <c r="E129" i="22"/>
  <c r="S129" i="22"/>
  <c r="S133" i="22"/>
  <c r="E133" i="22"/>
  <c r="S136" i="22"/>
  <c r="E138" i="22"/>
  <c r="S138" i="22"/>
  <c r="E140" i="22"/>
  <c r="S140" i="22"/>
  <c r="S135" i="22"/>
  <c r="E137" i="22"/>
  <c r="S137" i="22"/>
  <c r="E139" i="22"/>
  <c r="S139" i="22"/>
  <c r="E132" i="22"/>
  <c r="S132" i="22"/>
  <c r="D129" i="22"/>
  <c r="I132" i="22"/>
  <c r="W136" i="22"/>
  <c r="I138" i="22"/>
  <c r="L30" i="57"/>
  <c r="AT29" i="53"/>
  <c r="L30" i="53"/>
  <c r="AD29" i="53"/>
  <c r="Q29" i="53"/>
  <c r="AK29" i="52" a="1"/>
  <c r="AK29" i="52" s="1"/>
  <c r="B31" i="53" s="1"/>
  <c r="G30" i="53"/>
  <c r="I30" i="53"/>
  <c r="P30" i="53"/>
  <c r="J30" i="53"/>
  <c r="D30" i="53"/>
  <c r="E30" i="53"/>
  <c r="K30" i="53"/>
  <c r="C30" i="53"/>
  <c r="F30" i="53"/>
  <c r="H30" i="53"/>
  <c r="K30" i="57"/>
  <c r="I30" i="57"/>
  <c r="H30" i="57"/>
  <c r="G30" i="57"/>
  <c r="E30" i="57"/>
  <c r="D30" i="57"/>
  <c r="C30" i="57"/>
  <c r="F30" i="57"/>
  <c r="J30" i="57"/>
  <c r="AN29" i="55" a="1"/>
  <c r="AN29" i="55" s="1"/>
  <c r="B31" i="57" s="1"/>
  <c r="P31" i="57" s="1"/>
  <c r="AR14" i="67" a="1"/>
  <c r="AR14" i="67" s="1"/>
  <c r="B16" i="69" s="1"/>
  <c r="L16" i="69" s="1"/>
  <c r="B15" i="69"/>
  <c r="L15" i="69" s="1"/>
  <c r="D13" i="69"/>
  <c r="E13" i="69" s="1"/>
  <c r="F13" i="69" s="1"/>
  <c r="G13" i="69" s="1"/>
  <c r="H13" i="69" s="1"/>
  <c r="I13" i="69" s="1"/>
  <c r="J13" i="69" s="1"/>
  <c r="K13" i="69" s="1"/>
  <c r="M13" i="69" s="1"/>
  <c r="D14" i="69"/>
  <c r="E14" i="69" s="1"/>
  <c r="F14" i="69" s="1"/>
  <c r="G14" i="69" s="1"/>
  <c r="H14" i="69" s="1"/>
  <c r="I14" i="69" s="1"/>
  <c r="J14" i="69" s="1"/>
  <c r="K14" i="69" s="1"/>
  <c r="M14" i="69" s="1"/>
  <c r="R12" i="69"/>
  <c r="S12" i="69" s="1"/>
  <c r="E12" i="69"/>
  <c r="F12" i="69" s="1"/>
  <c r="AQ18" i="67" a="1"/>
  <c r="AQ18" i="67" s="1"/>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AG28" i="57" l="1"/>
  <c r="X28" i="57"/>
  <c r="X28" i="53"/>
  <c r="AA28" i="53" s="1"/>
  <c r="AB27" i="53"/>
  <c r="X29" i="53"/>
  <c r="AB29" i="53" s="1"/>
  <c r="R29" i="57"/>
  <c r="M31" i="53"/>
  <c r="AC31" i="53" s="1"/>
  <c r="O31" i="53"/>
  <c r="AD29" i="57"/>
  <c r="AQ29" i="57"/>
  <c r="Q29" i="57"/>
  <c r="T29" i="57" s="1"/>
  <c r="M30" i="57"/>
  <c r="AK30" i="57" s="1"/>
  <c r="U13" i="69"/>
  <c r="N31" i="53"/>
  <c r="Q14" i="69"/>
  <c r="Q13" i="69"/>
  <c r="AA27" i="57"/>
  <c r="AE27" i="57" s="1"/>
  <c r="AF27" i="57" s="1"/>
  <c r="AB27" i="57"/>
  <c r="O12" i="69"/>
  <c r="P12" i="69" s="1"/>
  <c r="AC27" i="57"/>
  <c r="AJ27" i="57" s="1"/>
  <c r="O29" i="57"/>
  <c r="N30" i="57"/>
  <c r="AH26" i="53"/>
  <c r="AG28" i="53"/>
  <c r="AG29" i="53"/>
  <c r="AE27" i="53"/>
  <c r="AF27" i="53" s="1"/>
  <c r="G12" i="69"/>
  <c r="H12" i="69" s="1"/>
  <c r="I12" i="69" s="1"/>
  <c r="J12" i="69" s="1"/>
  <c r="R30" i="53"/>
  <c r="X30" i="53" s="1"/>
  <c r="AY14" i="69"/>
  <c r="I129" i="22"/>
  <c r="AY13" i="69"/>
  <c r="L31" i="57"/>
  <c r="AT30" i="53"/>
  <c r="AD30" i="53"/>
  <c r="Q30" i="53"/>
  <c r="AK30" i="52" a="1"/>
  <c r="AK30" i="52" s="1"/>
  <c r="B32" i="53" s="1"/>
  <c r="F31" i="53"/>
  <c r="K31" i="53"/>
  <c r="P31" i="53"/>
  <c r="H31" i="53"/>
  <c r="L31" i="53"/>
  <c r="J31" i="53"/>
  <c r="I31" i="53"/>
  <c r="C31" i="53"/>
  <c r="E31" i="53"/>
  <c r="G31" i="53"/>
  <c r="D31" i="53"/>
  <c r="K31" i="57"/>
  <c r="I31" i="57"/>
  <c r="F31" i="57"/>
  <c r="C31" i="57"/>
  <c r="E31" i="57"/>
  <c r="J31" i="57"/>
  <c r="H31" i="57"/>
  <c r="D31" i="57"/>
  <c r="G31" i="57"/>
  <c r="AN30" i="55" a="1"/>
  <c r="AN30" i="55" s="1"/>
  <c r="B32" i="57" s="1"/>
  <c r="P32" i="57" s="1"/>
  <c r="AE14" i="69"/>
  <c r="AH14" i="69" s="1"/>
  <c r="R14" i="69"/>
  <c r="S14" i="69" s="1"/>
  <c r="AR15" i="67" a="1"/>
  <c r="AR15" i="67" s="1"/>
  <c r="AE13" i="69"/>
  <c r="AH13" i="69" s="1"/>
  <c r="R13" i="69"/>
  <c r="S13" i="69" s="1"/>
  <c r="C15" i="69"/>
  <c r="P15" i="69" s="1"/>
  <c r="C16" i="69"/>
  <c r="P16" i="69" s="1"/>
  <c r="AQ19" i="67" a="1"/>
  <c r="AQ19" i="67" s="1"/>
  <c r="E124" i="28"/>
  <c r="D124" i="28"/>
  <c r="C124" i="28"/>
  <c r="B124" i="28"/>
  <c r="D131" i="22"/>
  <c r="C131" i="22"/>
  <c r="B131" i="22"/>
  <c r="Y12" i="69" l="1"/>
  <c r="AB12" i="69" s="1"/>
  <c r="AC12" i="69" s="1"/>
  <c r="AB28" i="53"/>
  <c r="AA29" i="53"/>
  <c r="AG29" i="57"/>
  <c r="X29" i="57"/>
  <c r="AA30" i="53"/>
  <c r="R30" i="57"/>
  <c r="M32" i="53"/>
  <c r="O32" i="53"/>
  <c r="AP16" i="69"/>
  <c r="N16" i="69"/>
  <c r="U16" i="69" s="1"/>
  <c r="AP15" i="69"/>
  <c r="N15" i="69"/>
  <c r="AD30" i="57"/>
  <c r="AQ30" i="57"/>
  <c r="Q30" i="57"/>
  <c r="T30" i="57" s="1"/>
  <c r="M31" i="57"/>
  <c r="AK31" i="57" s="1"/>
  <c r="AB30" i="53"/>
  <c r="N32" i="53"/>
  <c r="O14" i="69"/>
  <c r="O13" i="69"/>
  <c r="M12" i="69"/>
  <c r="K12" i="69"/>
  <c r="AA28" i="57"/>
  <c r="AE28" i="57" s="1"/>
  <c r="AF28" i="57" s="1"/>
  <c r="AB28" i="57"/>
  <c r="AC28" i="57"/>
  <c r="AJ28" i="57" s="1"/>
  <c r="O30" i="57"/>
  <c r="N31" i="57"/>
  <c r="AE29" i="53"/>
  <c r="AF29" i="53" s="1"/>
  <c r="AH27" i="53"/>
  <c r="AE28" i="53"/>
  <c r="AF28" i="53" s="1"/>
  <c r="AG30" i="53"/>
  <c r="R31" i="53"/>
  <c r="X31" i="53" s="1"/>
  <c r="E131" i="22"/>
  <c r="S131" i="22"/>
  <c r="L32" i="57"/>
  <c r="AT31" i="53"/>
  <c r="AD31" i="53"/>
  <c r="AK31" i="52" a="1"/>
  <c r="AK31" i="52" s="1"/>
  <c r="B33" i="53" s="1"/>
  <c r="L32" i="53"/>
  <c r="C32" i="53"/>
  <c r="G32" i="53"/>
  <c r="P32" i="53"/>
  <c r="E32" i="53"/>
  <c r="F32" i="53"/>
  <c r="Q31" i="53"/>
  <c r="J32" i="53"/>
  <c r="I32" i="53"/>
  <c r="H32" i="53"/>
  <c r="D32" i="53"/>
  <c r="K32" i="53"/>
  <c r="H32" i="57"/>
  <c r="G32" i="57"/>
  <c r="E32" i="57"/>
  <c r="D32" i="57"/>
  <c r="C32" i="57"/>
  <c r="K32" i="57"/>
  <c r="I32" i="57"/>
  <c r="F32" i="57"/>
  <c r="J32" i="57"/>
  <c r="AN31" i="55" a="1"/>
  <c r="AN31" i="55" s="1"/>
  <c r="B33" i="57" s="1"/>
  <c r="P33" i="57" s="1"/>
  <c r="AR16" i="67" a="1"/>
  <c r="AR16" i="67" s="1"/>
  <c r="B18" i="69" s="1"/>
  <c r="L18" i="69" s="1"/>
  <c r="B17" i="69"/>
  <c r="L17" i="69" s="1"/>
  <c r="D16" i="69"/>
  <c r="E16" i="69" s="1"/>
  <c r="F16" i="69" s="1"/>
  <c r="G16" i="69" s="1"/>
  <c r="H16" i="69" s="1"/>
  <c r="I16" i="69" s="1"/>
  <c r="J16" i="69" s="1"/>
  <c r="K16" i="69" s="1"/>
  <c r="M16" i="69" s="1"/>
  <c r="D15" i="69"/>
  <c r="AQ20" i="67" a="1"/>
  <c r="AQ20" i="67" s="1"/>
  <c r="W131" i="22"/>
  <c r="G131" i="22"/>
  <c r="K131" i="22"/>
  <c r="U131" i="22"/>
  <c r="L131" i="22"/>
  <c r="V131"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l="1"/>
  <c r="AB13" i="69" s="1"/>
  <c r="AC13" i="69" s="1"/>
  <c r="Y14" i="69"/>
  <c r="AB14" i="69" s="1"/>
  <c r="AC14" i="69" s="1"/>
  <c r="AD14" i="69" s="1"/>
  <c r="AG30" i="57"/>
  <c r="X30" i="57"/>
  <c r="AA31" i="53"/>
  <c r="R31" i="57"/>
  <c r="M33" i="53"/>
  <c r="O33" i="53"/>
  <c r="AQ31" i="57"/>
  <c r="Q31" i="57"/>
  <c r="T31" i="57" s="1"/>
  <c r="AD31" i="57"/>
  <c r="M32" i="57"/>
  <c r="AK32" i="57" s="1"/>
  <c r="U15" i="69"/>
  <c r="AB31" i="53"/>
  <c r="N33" i="53"/>
  <c r="AF14" i="69"/>
  <c r="U11" i="46"/>
  <c r="Q15" i="69"/>
  <c r="Q16" i="69"/>
  <c r="AA29" i="57"/>
  <c r="AE29" i="57" s="1"/>
  <c r="AF29" i="57" s="1"/>
  <c r="AB29" i="57"/>
  <c r="AC29" i="57"/>
  <c r="AJ29" i="57" s="1"/>
  <c r="AH29" i="53"/>
  <c r="O31" i="57"/>
  <c r="N32" i="57"/>
  <c r="AH28" i="53"/>
  <c r="AG31" i="53"/>
  <c r="AC32" i="53"/>
  <c r="W8" i="78"/>
  <c r="U8" i="78"/>
  <c r="W7" i="78"/>
  <c r="U7" i="78"/>
  <c r="W6" i="78"/>
  <c r="U6" i="78"/>
  <c r="AY15" i="69"/>
  <c r="AY16" i="69"/>
  <c r="L33" i="57"/>
  <c r="K33" i="53"/>
  <c r="AK32" i="52" a="1"/>
  <c r="AK32" i="52" s="1"/>
  <c r="B34" i="53" s="1"/>
  <c r="H33" i="53"/>
  <c r="G33" i="53"/>
  <c r="L33" i="53"/>
  <c r="F33" i="53"/>
  <c r="I33" i="53"/>
  <c r="J33" i="53"/>
  <c r="E33" i="53"/>
  <c r="P33" i="53"/>
  <c r="D33" i="53"/>
  <c r="C33" i="53"/>
  <c r="K33" i="57"/>
  <c r="J33" i="57"/>
  <c r="E33" i="57"/>
  <c r="C33" i="57"/>
  <c r="H33" i="57"/>
  <c r="I33" i="57"/>
  <c r="D33" i="57"/>
  <c r="F33" i="57"/>
  <c r="G33" i="57"/>
  <c r="AN32" i="55" a="1"/>
  <c r="AN32" i="55" s="1"/>
  <c r="B34" i="57" s="1"/>
  <c r="P34" i="57" s="1"/>
  <c r="AR17" i="67" a="1"/>
  <c r="AR17" i="67" s="1"/>
  <c r="B19" i="69" s="1"/>
  <c r="C17" i="69"/>
  <c r="P17" i="69" s="1"/>
  <c r="C18" i="69"/>
  <c r="P18" i="69" s="1"/>
  <c r="AE16" i="69"/>
  <c r="AH16" i="69" s="1"/>
  <c r="R16" i="69"/>
  <c r="S16" i="69" s="1"/>
  <c r="AE15" i="69"/>
  <c r="AH15" i="69" s="1"/>
  <c r="R15" i="69"/>
  <c r="S15" i="69" s="1"/>
  <c r="E15" i="69"/>
  <c r="F15" i="69" s="1"/>
  <c r="AQ21" i="67" a="1"/>
  <c r="AQ21" i="67" s="1"/>
  <c r="AQ22" i="67" s="1" a="1"/>
  <c r="AQ22" i="67" s="1"/>
  <c r="AQ23" i="67" s="1" a="1"/>
  <c r="AQ23" i="67" s="1"/>
  <c r="AQ24" i="67" s="1" a="1"/>
  <c r="AQ24" i="67" s="1"/>
  <c r="AQ25" i="67" s="1" a="1"/>
  <c r="AQ25" i="67" s="1"/>
  <c r="AQ26" i="67" s="1" a="1"/>
  <c r="AQ26" i="67" s="1"/>
  <c r="AQ27" i="67" s="1" a="1"/>
  <c r="AQ27" i="67" s="1"/>
  <c r="AQ28" i="67" s="1" a="1"/>
  <c r="AQ28" i="67" s="1"/>
  <c r="AQ29" i="67" s="1" a="1"/>
  <c r="AQ29" i="67" s="1"/>
  <c r="AQ30" i="67" s="1" a="1"/>
  <c r="AQ30" i="67" s="1"/>
  <c r="AQ31" i="67" s="1" a="1"/>
  <c r="AQ31" i="67" s="1"/>
  <c r="AQ32" i="67" s="1" a="1"/>
  <c r="AQ32" i="67" s="1"/>
  <c r="AQ33" i="67" s="1" a="1"/>
  <c r="AQ33" i="67" s="1"/>
  <c r="AQ34" i="67" s="1" a="1"/>
  <c r="AQ34" i="67" s="1"/>
  <c r="AQ35" i="67" s="1" a="1"/>
  <c r="AQ35" i="67" s="1"/>
  <c r="AQ36" i="67" s="1" a="1"/>
  <c r="AQ36" i="67" s="1"/>
  <c r="AQ37" i="67" s="1" a="1"/>
  <c r="AQ37" i="67" s="1"/>
  <c r="AQ38" i="67" s="1" a="1"/>
  <c r="AQ38" i="67" s="1"/>
  <c r="AQ39" i="67" s="1" a="1"/>
  <c r="AQ39" i="67" s="1"/>
  <c r="AQ40" i="67" s="1" a="1"/>
  <c r="AQ40" i="67" s="1"/>
  <c r="AQ41" i="67" s="1" a="1"/>
  <c r="AQ41" i="67" s="1"/>
  <c r="AQ42" i="67" s="1" a="1"/>
  <c r="AQ42" i="67" s="1"/>
  <c r="AQ43" i="67" s="1" a="1"/>
  <c r="AQ43" i="67" s="1"/>
  <c r="AQ44" i="67" s="1" a="1"/>
  <c r="AQ44" i="67" s="1"/>
  <c r="AQ45" i="67" s="1" a="1"/>
  <c r="AQ45" i="67" s="1"/>
  <c r="AQ46" i="67" s="1" a="1"/>
  <c r="AQ46" i="67" s="1"/>
  <c r="AQ47" i="67" s="1" a="1"/>
  <c r="AQ47" i="67" s="1"/>
  <c r="AQ48" i="67" s="1" a="1"/>
  <c r="AQ48" i="67" s="1"/>
  <c r="AQ49" i="67" s="1" a="1"/>
  <c r="AQ49" i="67" s="1"/>
  <c r="AQ50" i="67" s="1" a="1"/>
  <c r="AQ50" i="67" s="1"/>
  <c r="AQ51" i="67" s="1" a="1"/>
  <c r="AQ51" i="67" s="1"/>
  <c r="AQ52" i="67" s="1" a="1"/>
  <c r="AQ52" i="67" s="1"/>
  <c r="AQ53" i="67" s="1" a="1"/>
  <c r="AQ53" i="67" s="1"/>
  <c r="AQ54" i="67" s="1" a="1"/>
  <c r="AQ54" i="67" s="1"/>
  <c r="AQ55" i="67" s="1" a="1"/>
  <c r="AQ55" i="67" s="1"/>
  <c r="AQ56" i="67" s="1" a="1"/>
  <c r="AQ56" i="67" s="1"/>
  <c r="AQ57" i="67" s="1" a="1"/>
  <c r="AQ57" i="67" s="1"/>
  <c r="AQ58" i="67" s="1" a="1"/>
  <c r="AQ58" i="67" s="1"/>
  <c r="AQ59" i="67" s="1" a="1"/>
  <c r="AQ59" i="67" s="1"/>
  <c r="AQ60" i="67" s="1" a="1"/>
  <c r="AQ60" i="67" s="1"/>
  <c r="AQ61" i="67" s="1" a="1"/>
  <c r="AQ61" i="67" s="1"/>
  <c r="AQ62" i="67" s="1" a="1"/>
  <c r="AQ62" i="67" s="1"/>
  <c r="AQ63" i="67" s="1" a="1"/>
  <c r="AQ63" i="67" s="1"/>
  <c r="AQ64" i="67" s="1" a="1"/>
  <c r="AQ64" i="67" s="1"/>
  <c r="AQ65" i="67" s="1" a="1"/>
  <c r="AQ65" i="67" s="1"/>
  <c r="AQ66" i="67" s="1" a="1"/>
  <c r="AQ66" i="67" s="1"/>
  <c r="AQ67" i="67" s="1" a="1"/>
  <c r="AQ67" i="67" s="1"/>
  <c r="AQ68" i="67" s="1" a="1"/>
  <c r="AQ68" i="67" s="1"/>
  <c r="AQ69" i="67" s="1" a="1"/>
  <c r="AQ69" i="67" s="1"/>
  <c r="AQ70" i="67" s="1" a="1"/>
  <c r="AQ70" i="67" s="1"/>
  <c r="AQ71" i="67" s="1" a="1"/>
  <c r="AQ71" i="67" s="1"/>
  <c r="AQ72" i="67" s="1" a="1"/>
  <c r="AQ72" i="67" s="1"/>
  <c r="AQ73" i="67" s="1" a="1"/>
  <c r="AQ73" i="67" s="1"/>
  <c r="AQ74" i="67" s="1" a="1"/>
  <c r="AQ74" i="67" s="1"/>
  <c r="AQ75" i="67" s="1" a="1"/>
  <c r="AQ75" i="67" s="1"/>
  <c r="AQ76" i="67" s="1" a="1"/>
  <c r="AQ76" i="67" s="1"/>
  <c r="AQ77" i="67" s="1" a="1"/>
  <c r="AQ77" i="67" s="1"/>
  <c r="AQ78" i="67" s="1" a="1"/>
  <c r="AQ78" i="67" s="1"/>
  <c r="AQ79" i="67" s="1" a="1"/>
  <c r="AQ79" i="67" s="1"/>
  <c r="AQ80" i="67" s="1" a="1"/>
  <c r="AQ80" i="67" s="1"/>
  <c r="AQ81" i="67" s="1" a="1"/>
  <c r="AQ81" i="67" s="1"/>
  <c r="AQ82" i="67" s="1" a="1"/>
  <c r="AQ82" i="67" s="1"/>
  <c r="AQ83" i="67" s="1" a="1"/>
  <c r="AQ83" i="67" s="1"/>
  <c r="AQ84" i="67" s="1" a="1"/>
  <c r="AQ84" i="67" s="1"/>
  <c r="AQ85" i="67" s="1" a="1"/>
  <c r="AQ85" i="67" s="1"/>
  <c r="AQ86" i="67" s="1" a="1"/>
  <c r="AQ86" i="67" s="1"/>
  <c r="AQ87" i="67" s="1" a="1"/>
  <c r="AQ87" i="67" s="1"/>
  <c r="AQ88" i="67" s="1" a="1"/>
  <c r="AQ88" i="67" s="1"/>
  <c r="AQ89" i="67" s="1" a="1"/>
  <c r="AQ89" i="67" s="1"/>
  <c r="AQ90" i="67" s="1" a="1"/>
  <c r="AQ90" i="67" s="1"/>
  <c r="AQ91" i="67" s="1" a="1"/>
  <c r="AQ91" i="67" s="1"/>
  <c r="AQ92" i="67" s="1" a="1"/>
  <c r="AQ92" i="67" s="1"/>
  <c r="AQ93" i="67" s="1" a="1"/>
  <c r="AQ93" i="67" s="1"/>
  <c r="AQ94" i="67" s="1" a="1"/>
  <c r="AQ94" i="67" s="1"/>
  <c r="AQ95" i="67" s="1" a="1"/>
  <c r="AQ95" i="67" s="1"/>
  <c r="AQ96" i="67" s="1" a="1"/>
  <c r="AQ96" i="67" s="1"/>
  <c r="AQ97" i="67" s="1" a="1"/>
  <c r="AQ97" i="67" s="1"/>
  <c r="AQ98" i="67" s="1" a="1"/>
  <c r="AQ98" i="67" s="1"/>
  <c r="AQ99" i="67" s="1" a="1"/>
  <c r="AQ99" i="67" s="1"/>
  <c r="AQ100" i="67" s="1" a="1"/>
  <c r="AQ100" i="67" s="1"/>
  <c r="AQ101" i="67" s="1" a="1"/>
  <c r="AQ101" i="67" s="1"/>
  <c r="AQ102" i="67" s="1" a="1"/>
  <c r="AQ102" i="67" s="1"/>
  <c r="AQ103" i="67" s="1" a="1"/>
  <c r="AQ103" i="67" s="1"/>
  <c r="AQ104" i="67" s="1" a="1"/>
  <c r="AQ104" i="67" s="1"/>
  <c r="AQ105" i="67" s="1" a="1"/>
  <c r="AQ105" i="67" s="1"/>
  <c r="AQ106" i="67" s="1" a="1"/>
  <c r="AQ106" i="67" s="1"/>
  <c r="AQ107" i="67" s="1" a="1"/>
  <c r="AQ107" i="67" s="1"/>
  <c r="AQ108" i="67" s="1" a="1"/>
  <c r="AQ108" i="67" s="1"/>
  <c r="AQ109" i="67" s="1" a="1"/>
  <c r="AQ109" i="67" s="1"/>
  <c r="AQ110" i="67" s="1" a="1"/>
  <c r="AQ110" i="67" s="1"/>
  <c r="AQ111" i="67" s="1" a="1"/>
  <c r="AQ111" i="67" s="1"/>
  <c r="AQ112" i="67" s="1" a="1"/>
  <c r="AQ112" i="67" s="1"/>
  <c r="AQ113" i="67" s="1" a="1"/>
  <c r="AQ113" i="67" s="1"/>
  <c r="AQ114" i="67" s="1" a="1"/>
  <c r="AQ114" i="67" s="1"/>
  <c r="AQ115" i="67" s="1" a="1"/>
  <c r="AQ115" i="67" s="1"/>
  <c r="AQ116" i="67" s="1" a="1"/>
  <c r="AQ116" i="67" s="1"/>
  <c r="AQ117" i="67" s="1" a="1"/>
  <c r="AQ117" i="67" s="1"/>
  <c r="AQ118" i="67" s="1" a="1"/>
  <c r="AQ118" i="67" s="1"/>
  <c r="AQ119" i="67" s="1" a="1"/>
  <c r="AQ119" i="67" s="1"/>
  <c r="AQ120" i="67" s="1" a="1"/>
  <c r="AQ120" i="67" s="1"/>
  <c r="AQ121" i="67" s="1" a="1"/>
  <c r="AQ121" i="67" s="1"/>
  <c r="AQ122" i="67" s="1" a="1"/>
  <c r="AQ122" i="67" s="1"/>
  <c r="AQ123" i="67" s="1" a="1"/>
  <c r="AQ123" i="67" s="1"/>
  <c r="AQ124" i="67" s="1" a="1"/>
  <c r="AQ124" i="67" s="1"/>
  <c r="AQ125" i="67" s="1" a="1"/>
  <c r="AQ125" i="67" s="1"/>
  <c r="AQ126" i="67" s="1" a="1"/>
  <c r="AQ126" i="67" s="1"/>
  <c r="AQ127" i="67" s="1" a="1"/>
  <c r="AQ127" i="67" s="1"/>
  <c r="AQ128" i="67" s="1" a="1"/>
  <c r="AQ128" i="67" s="1"/>
  <c r="AQ129" i="67" s="1" a="1"/>
  <c r="AQ129" i="67" s="1"/>
  <c r="AQ130" i="67" s="1" a="1"/>
  <c r="AQ130" i="67" s="1"/>
  <c r="AQ131" i="67" s="1" a="1"/>
  <c r="AQ131" i="67" s="1"/>
  <c r="AQ132" i="67" s="1" a="1"/>
  <c r="AQ132" i="67" s="1"/>
  <c r="AQ133" i="67" s="1" a="1"/>
  <c r="AQ133" i="67" s="1"/>
  <c r="AQ134" i="67" s="1" a="1"/>
  <c r="AQ134" i="67" s="1"/>
  <c r="AQ135" i="67" s="1" a="1"/>
  <c r="AQ135" i="67" s="1"/>
  <c r="AQ136" i="67" s="1" a="1"/>
  <c r="AQ136" i="67" s="1"/>
  <c r="AQ137" i="67" s="1" a="1"/>
  <c r="AQ137" i="67" s="1"/>
  <c r="AQ138" i="67" s="1" a="1"/>
  <c r="AQ138" i="67" s="1"/>
  <c r="AQ139" i="67" s="1" a="1"/>
  <c r="AQ139" i="67" s="1"/>
  <c r="AQ140" i="67" s="1" a="1"/>
  <c r="AQ140" i="67" s="1"/>
  <c r="AQ141" i="67" s="1" a="1"/>
  <c r="AQ141" i="67" s="1"/>
  <c r="AQ142" i="67" s="1" a="1"/>
  <c r="AQ142" i="67" s="1"/>
  <c r="AQ143" i="67" s="1" a="1"/>
  <c r="AQ143" i="67" s="1"/>
  <c r="AQ144" i="67" s="1" a="1"/>
  <c r="AQ144" i="67" s="1"/>
  <c r="AQ145" i="67" s="1" a="1"/>
  <c r="AQ145" i="67" s="1"/>
  <c r="AQ146" i="67" s="1" a="1"/>
  <c r="AQ146" i="67" s="1"/>
  <c r="AQ147" i="67" s="1" a="1"/>
  <c r="AQ147" i="67" s="1"/>
  <c r="AQ148" i="67" s="1" a="1"/>
  <c r="AQ148" i="67" s="1"/>
  <c r="AQ149" i="67" s="1" a="1"/>
  <c r="AQ149" i="67" s="1"/>
  <c r="AQ150" i="67" s="1" a="1"/>
  <c r="AQ150" i="67" s="1"/>
  <c r="AQ151" i="67" s="1" a="1"/>
  <c r="AQ151" i="67" s="1"/>
  <c r="AQ152" i="67" s="1" a="1"/>
  <c r="AQ152" i="67" s="1"/>
  <c r="AQ153" i="67" s="1" a="1"/>
  <c r="AQ153" i="67" s="1"/>
  <c r="AQ154" i="67" s="1" a="1"/>
  <c r="AQ154" i="67" s="1"/>
  <c r="AQ155" i="67" s="1" a="1"/>
  <c r="AQ155" i="67" s="1"/>
  <c r="AQ156" i="67" s="1" a="1"/>
  <c r="AQ156" i="67" s="1"/>
  <c r="AQ157" i="67" s="1" a="1"/>
  <c r="AQ157" i="67" s="1"/>
  <c r="AQ158" i="67" s="1" a="1"/>
  <c r="AQ158" i="67" s="1"/>
  <c r="AQ159" i="67" s="1" a="1"/>
  <c r="AQ159" i="67" s="1"/>
  <c r="AQ160" i="67" s="1" a="1"/>
  <c r="AQ160" i="67" s="1"/>
  <c r="AQ161" i="67" s="1" a="1"/>
  <c r="AQ161" i="67" s="1"/>
  <c r="AQ162" i="67" s="1" a="1"/>
  <c r="AQ162" i="67" s="1"/>
  <c r="AQ163" i="67" s="1" a="1"/>
  <c r="AQ163" i="67" s="1"/>
  <c r="AQ164" i="67" s="1" a="1"/>
  <c r="AQ164" i="67" s="1"/>
  <c r="AQ165" i="67" s="1" a="1"/>
  <c r="AQ165" i="67" s="1"/>
  <c r="AQ166" i="67" s="1" a="1"/>
  <c r="AQ166" i="67" s="1"/>
  <c r="AQ167" i="67" s="1" a="1"/>
  <c r="AQ167" i="67" s="1"/>
  <c r="AQ168" i="67" s="1" a="1"/>
  <c r="AQ168" i="67" s="1"/>
  <c r="AQ169" i="67" s="1" a="1"/>
  <c r="AQ169" i="67" s="1"/>
  <c r="AQ170" i="67" s="1" a="1"/>
  <c r="AQ170" i="67" s="1"/>
  <c r="AQ171" i="67" s="1" a="1"/>
  <c r="AQ171" i="67" s="1"/>
  <c r="AQ172" i="67" s="1" a="1"/>
  <c r="AQ172" i="67" s="1"/>
  <c r="AQ173" i="67" s="1" a="1"/>
  <c r="AQ173" i="67" s="1"/>
  <c r="AQ174" i="67" s="1" a="1"/>
  <c r="AQ174" i="67" s="1"/>
  <c r="AQ175" i="67" s="1" a="1"/>
  <c r="AQ175" i="67" s="1"/>
  <c r="AQ176" i="67" s="1" a="1"/>
  <c r="AQ176" i="67" s="1"/>
  <c r="AQ177" i="67" s="1" a="1"/>
  <c r="AQ177" i="67" s="1"/>
  <c r="AQ178" i="67" s="1" a="1"/>
  <c r="AQ178" i="67" s="1"/>
  <c r="AQ179" i="67" s="1" a="1"/>
  <c r="AQ179" i="67" s="1"/>
  <c r="AQ180" i="67" s="1" a="1"/>
  <c r="AQ180" i="67" s="1"/>
  <c r="AQ181" i="67" s="1" a="1"/>
  <c r="AQ181" i="67" s="1"/>
  <c r="AQ182" i="67" s="1" a="1"/>
  <c r="AQ182" i="67" s="1"/>
  <c r="AQ183" i="67" s="1" a="1"/>
  <c r="AQ183" i="67" s="1"/>
  <c r="AQ184" i="67" s="1" a="1"/>
  <c r="AQ184" i="67" s="1"/>
  <c r="AQ185" i="67" s="1" a="1"/>
  <c r="AQ185" i="67" s="1"/>
  <c r="AQ186" i="67" s="1" a="1"/>
  <c r="AQ186" i="67" s="1"/>
  <c r="AQ187" i="67" s="1" a="1"/>
  <c r="AQ187" i="67" s="1"/>
  <c r="AQ188" i="67" s="1" a="1"/>
  <c r="AQ188" i="67" s="1"/>
  <c r="AQ189" i="67" s="1" a="1"/>
  <c r="AQ189" i="67" s="1"/>
  <c r="AQ190" i="67" s="1" a="1"/>
  <c r="AQ190" i="67" s="1"/>
  <c r="AQ191" i="67" s="1" a="1"/>
  <c r="AQ191" i="67" s="1"/>
  <c r="AQ192" i="67" s="1" a="1"/>
  <c r="AQ192" i="67" s="1"/>
  <c r="AQ193" i="67" s="1" a="1"/>
  <c r="AQ193" i="67" s="1"/>
  <c r="AQ194" i="67" s="1" a="1"/>
  <c r="AQ194" i="67" s="1"/>
  <c r="AQ195" i="67" s="1" a="1"/>
  <c r="AQ195" i="67" s="1"/>
  <c r="AQ196" i="67" s="1" a="1"/>
  <c r="AQ196" i="67" s="1"/>
  <c r="AQ197" i="67" s="1" a="1"/>
  <c r="AQ197" i="67" s="1"/>
  <c r="AQ198" i="67" s="1" a="1"/>
  <c r="AQ198" i="67" s="1"/>
  <c r="AQ199" i="67" s="1" a="1"/>
  <c r="AQ199" i="67" s="1"/>
  <c r="AQ200" i="67" s="1" a="1"/>
  <c r="AQ200" i="67" s="1"/>
  <c r="AQ201" i="67" s="1" a="1"/>
  <c r="AQ201" i="67" s="1"/>
  <c r="AQ202" i="67" s="1" a="1"/>
  <c r="AQ202" i="67" s="1"/>
  <c r="AQ203" i="67" s="1" a="1"/>
  <c r="AQ203" i="67" s="1"/>
  <c r="AQ204" i="67" s="1" a="1"/>
  <c r="AQ204" i="67" s="1"/>
  <c r="AQ205" i="67" s="1" a="1"/>
  <c r="AQ205" i="67" s="1"/>
  <c r="AQ206" i="67" s="1" a="1"/>
  <c r="AQ206" i="67" s="1"/>
  <c r="AQ207" i="67" s="1" a="1"/>
  <c r="AQ207" i="67" s="1"/>
  <c r="AQ208" i="67" s="1" a="1"/>
  <c r="AQ208" i="67" s="1"/>
  <c r="AQ209" i="67" s="1" a="1"/>
  <c r="AQ209" i="67" s="1"/>
  <c r="AQ210" i="67" s="1" a="1"/>
  <c r="AQ210" i="67" s="1"/>
  <c r="AQ211" i="67" s="1" a="1"/>
  <c r="AQ211" i="67" s="1"/>
  <c r="AQ212" i="67" s="1" a="1"/>
  <c r="AQ212" i="67" s="1"/>
  <c r="AQ213" i="67" s="1" a="1"/>
  <c r="AQ213" i="67" s="1"/>
  <c r="AQ214" i="67" s="1" a="1"/>
  <c r="AQ214" i="67" s="1"/>
  <c r="AQ215" i="67" s="1" a="1"/>
  <c r="AQ215" i="67" s="1"/>
  <c r="AQ216" i="67" s="1" a="1"/>
  <c r="AQ216" i="67" s="1"/>
  <c r="AQ217" i="67" s="1" a="1"/>
  <c r="AQ217" i="67" s="1"/>
  <c r="AQ218" i="67" s="1" a="1"/>
  <c r="AQ218" i="67" s="1"/>
  <c r="AQ219" i="67" s="1" a="1"/>
  <c r="AQ219" i="67" s="1"/>
  <c r="AQ220" i="67" s="1" a="1"/>
  <c r="AQ220" i="67" s="1"/>
  <c r="AQ221" i="67" s="1" a="1"/>
  <c r="AQ221" i="67" s="1"/>
  <c r="AQ222" i="67" s="1" a="1"/>
  <c r="AQ222" i="67" s="1"/>
  <c r="AQ223" i="67" s="1" a="1"/>
  <c r="AQ223" i="67" s="1"/>
  <c r="AQ224" i="67" s="1" a="1"/>
  <c r="AQ224" i="67" s="1"/>
  <c r="AQ225" i="67" s="1" a="1"/>
  <c r="AQ225" i="67" s="1"/>
  <c r="AQ226" i="67" s="1" a="1"/>
  <c r="AQ226" i="67" s="1"/>
  <c r="AQ227" i="67" s="1" a="1"/>
  <c r="AQ227" i="67" s="1"/>
  <c r="AQ228" i="67" s="1" a="1"/>
  <c r="AQ228" i="67" s="1"/>
  <c r="AQ229" i="67" s="1" a="1"/>
  <c r="AQ229" i="67" s="1"/>
  <c r="AQ230" i="67" s="1" a="1"/>
  <c r="AQ230" i="67" s="1"/>
  <c r="AQ231" i="67" s="1" a="1"/>
  <c r="AQ231" i="67" s="1"/>
  <c r="AQ232" i="67" s="1" a="1"/>
  <c r="AQ232" i="67" s="1"/>
  <c r="AQ233" i="67" s="1" a="1"/>
  <c r="AQ233" i="67" s="1"/>
  <c r="AQ234" i="67" s="1" a="1"/>
  <c r="AQ234" i="67" s="1"/>
  <c r="AQ235" i="67" s="1" a="1"/>
  <c r="AQ235" i="67" s="1"/>
  <c r="AQ236" i="67" s="1" a="1"/>
  <c r="AQ236" i="67" s="1"/>
  <c r="AQ237" i="67" s="1" a="1"/>
  <c r="AQ237" i="67" s="1"/>
  <c r="AQ238" i="67" s="1" a="1"/>
  <c r="AQ238" i="67" s="1"/>
  <c r="AQ239" i="67" s="1" a="1"/>
  <c r="AQ239" i="67" s="1"/>
  <c r="AQ240" i="67" s="1" a="1"/>
  <c r="AQ240" i="67" s="1"/>
  <c r="AQ241" i="67" s="1" a="1"/>
  <c r="AQ241" i="67" s="1"/>
  <c r="AQ242" i="67" s="1" a="1"/>
  <c r="AQ242" i="67" s="1"/>
  <c r="AQ243" i="67" s="1" a="1"/>
  <c r="AQ243" i="67" s="1"/>
  <c r="AQ244" i="67" s="1" a="1"/>
  <c r="AQ244" i="67" s="1"/>
  <c r="AQ245" i="67" s="1" a="1"/>
  <c r="AQ245" i="67" s="1"/>
  <c r="AQ246" i="67" s="1" a="1"/>
  <c r="AQ246" i="67" s="1"/>
  <c r="AQ247" i="67" s="1" a="1"/>
  <c r="AQ247" i="67" s="1"/>
  <c r="AQ248" i="67" s="1" a="1"/>
  <c r="AQ248" i="67" s="1"/>
  <c r="AQ249" i="67" s="1" a="1"/>
  <c r="AQ249" i="67" s="1"/>
  <c r="AQ250" i="67" s="1" a="1"/>
  <c r="AQ250" i="67" s="1"/>
  <c r="AQ251" i="67" s="1" a="1"/>
  <c r="AQ251" i="67" s="1"/>
  <c r="AQ252" i="67" s="1" a="1"/>
  <c r="AQ252" i="67" s="1"/>
  <c r="AQ253" i="67" s="1" a="1"/>
  <c r="AQ253" i="67" s="1"/>
  <c r="AQ254" i="67" s="1" a="1"/>
  <c r="AQ254" i="67" s="1"/>
  <c r="AQ255" i="67" s="1" a="1"/>
  <c r="AQ255" i="67" s="1"/>
  <c r="AQ256" i="67" s="1" a="1"/>
  <c r="AQ256" i="67" s="1"/>
  <c r="AQ257" i="67" s="1" a="1"/>
  <c r="AQ257" i="67" s="1"/>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l="1"/>
  <c r="AG31" i="57"/>
  <c r="X31" i="57"/>
  <c r="AD32" i="57"/>
  <c r="M34" i="53"/>
  <c r="O34" i="53"/>
  <c r="AP18" i="69"/>
  <c r="N18" i="69"/>
  <c r="U18" i="69" s="1"/>
  <c r="AP17" i="69"/>
  <c r="N17" i="69"/>
  <c r="AQ32" i="57"/>
  <c r="Q32" i="57"/>
  <c r="T32" i="57" s="1"/>
  <c r="R32" i="57"/>
  <c r="M33" i="57"/>
  <c r="AK33" i="57" s="1"/>
  <c r="N34" i="53"/>
  <c r="O16" i="69"/>
  <c r="O15" i="69"/>
  <c r="AO14" i="69"/>
  <c r="AD13" i="69"/>
  <c r="AF13" i="69"/>
  <c r="AG13" i="69" s="1"/>
  <c r="L19" i="69"/>
  <c r="U9" i="78"/>
  <c r="AA30" i="57"/>
  <c r="AE30" i="57" s="1"/>
  <c r="AF30" i="57" s="1"/>
  <c r="AB30" i="57"/>
  <c r="AD12" i="69"/>
  <c r="AF12" i="69"/>
  <c r="AG12" i="69" s="1"/>
  <c r="AC30" i="57"/>
  <c r="AJ30" i="57" s="1"/>
  <c r="O32" i="57"/>
  <c r="N33" i="57"/>
  <c r="Q32" i="53"/>
  <c r="R32" i="53"/>
  <c r="X32" i="53" s="1"/>
  <c r="AD32" i="53"/>
  <c r="AT32" i="53"/>
  <c r="AE30" i="53"/>
  <c r="AF30" i="53" s="1"/>
  <c r="AC33" i="53"/>
  <c r="G15" i="69"/>
  <c r="H15" i="69" s="1"/>
  <c r="I15" i="69" s="1"/>
  <c r="J15" i="69" s="1"/>
  <c r="K15" i="69" s="1"/>
  <c r="M15" i="69" s="1"/>
  <c r="W9" i="78"/>
  <c r="C19" i="69"/>
  <c r="P19" i="69" s="1"/>
  <c r="L34" i="57"/>
  <c r="AK33" i="52" a="1"/>
  <c r="AK33" i="52" s="1"/>
  <c r="B35" i="53" s="1"/>
  <c r="F34" i="53"/>
  <c r="H34" i="53"/>
  <c r="D34" i="53"/>
  <c r="C34" i="53"/>
  <c r="L34" i="53"/>
  <c r="I34" i="53"/>
  <c r="G34" i="53"/>
  <c r="P34" i="53"/>
  <c r="K34" i="53"/>
  <c r="J34" i="53"/>
  <c r="E34" i="53"/>
  <c r="G34" i="57"/>
  <c r="E34" i="57"/>
  <c r="D34" i="57"/>
  <c r="C34" i="57"/>
  <c r="K34" i="57"/>
  <c r="I34" i="57"/>
  <c r="H34" i="57"/>
  <c r="F34" i="57"/>
  <c r="J34" i="57"/>
  <c r="AN33" i="55" a="1"/>
  <c r="AN33" i="55" s="1"/>
  <c r="B35" i="57" s="1"/>
  <c r="P35" i="57" s="1"/>
  <c r="AR18" i="67" a="1"/>
  <c r="AR18" i="67" s="1"/>
  <c r="B20" i="69" s="1"/>
  <c r="D18" i="69"/>
  <c r="E18" i="69" s="1"/>
  <c r="F18" i="69" s="1"/>
  <c r="G18" i="69" s="1"/>
  <c r="H18" i="69" s="1"/>
  <c r="I18" i="69" s="1"/>
  <c r="J18" i="69" s="1"/>
  <c r="K18" i="69" s="1"/>
  <c r="M18" i="69" s="1"/>
  <c r="D17" i="69"/>
  <c r="Y15" i="69" l="1"/>
  <c r="Y16" i="69"/>
  <c r="AB16" i="69" s="1"/>
  <c r="AC16" i="69" s="1"/>
  <c r="AD16" i="69" s="1"/>
  <c r="AG32" i="57"/>
  <c r="X32" i="57"/>
  <c r="M35" i="53"/>
  <c r="O35" i="53"/>
  <c r="AP19" i="69"/>
  <c r="N19" i="69"/>
  <c r="U19" i="69" s="1"/>
  <c r="AD33" i="57"/>
  <c r="R33" i="57"/>
  <c r="AQ33" i="57"/>
  <c r="Q33" i="57"/>
  <c r="T33" i="57" s="1"/>
  <c r="M34" i="57"/>
  <c r="AK34" i="57" s="1"/>
  <c r="U17" i="69"/>
  <c r="N35" i="53"/>
  <c r="AA32" i="53"/>
  <c r="AB32" i="53"/>
  <c r="AF16" i="69"/>
  <c r="AO13" i="69"/>
  <c r="AO12" i="69"/>
  <c r="L20" i="69"/>
  <c r="Q17" i="69"/>
  <c r="Q18" i="69"/>
  <c r="AA31" i="57"/>
  <c r="AE31" i="57" s="1"/>
  <c r="AF31" i="57" s="1"/>
  <c r="AB31" i="57"/>
  <c r="AC31" i="57"/>
  <c r="AJ31" i="57" s="1"/>
  <c r="O33" i="57"/>
  <c r="N34" i="57"/>
  <c r="AH30" i="53"/>
  <c r="AG32" i="53"/>
  <c r="AD33" i="53"/>
  <c r="AE31" i="53"/>
  <c r="AF31" i="53" s="1"/>
  <c r="AT33" i="53"/>
  <c r="AE32" i="53"/>
  <c r="AF32" i="53" s="1"/>
  <c r="Q33" i="53"/>
  <c r="R33" i="53"/>
  <c r="X33" i="53" s="1"/>
  <c r="D19" i="69"/>
  <c r="E19" i="69" s="1"/>
  <c r="F19" i="69" s="1"/>
  <c r="G19" i="69" s="1"/>
  <c r="H19" i="69" s="1"/>
  <c r="I19" i="69" s="1"/>
  <c r="J19" i="69" s="1"/>
  <c r="K19" i="69" s="1"/>
  <c r="M19" i="69"/>
  <c r="AY18" i="69"/>
  <c r="AY17" i="69"/>
  <c r="L35" i="57"/>
  <c r="E35" i="53"/>
  <c r="AH17" i="69"/>
  <c r="J35" i="53"/>
  <c r="K35" i="53"/>
  <c r="P35" i="53"/>
  <c r="F35" i="53"/>
  <c r="D35" i="53"/>
  <c r="G35" i="53"/>
  <c r="H35" i="53"/>
  <c r="L35" i="53"/>
  <c r="AK34" i="52" a="1"/>
  <c r="AK34" i="52" s="1"/>
  <c r="B36" i="53" s="1"/>
  <c r="I35" i="53"/>
  <c r="C35" i="53"/>
  <c r="I35" i="57"/>
  <c r="F35" i="57"/>
  <c r="E35" i="57"/>
  <c r="C35" i="57"/>
  <c r="K35" i="57"/>
  <c r="J35" i="57"/>
  <c r="H35" i="57"/>
  <c r="D35" i="57"/>
  <c r="G35" i="57"/>
  <c r="AN34" i="55" a="1"/>
  <c r="AN34" i="55" s="1"/>
  <c r="B36" i="57" s="1"/>
  <c r="P36" i="57" s="1"/>
  <c r="AR19" i="67" a="1"/>
  <c r="AR19" i="67" s="1"/>
  <c r="B21" i="69" s="1"/>
  <c r="C20" i="69"/>
  <c r="P20" i="69" s="1"/>
  <c r="E17" i="69"/>
  <c r="F17" i="69" s="1"/>
  <c r="G17" i="69" s="1"/>
  <c r="H17" i="69" s="1"/>
  <c r="I17" i="69" s="1"/>
  <c r="J17" i="69" s="1"/>
  <c r="K17" i="69" s="1"/>
  <c r="M17" i="69" s="1"/>
  <c r="AE17" i="69"/>
  <c r="R17" i="69"/>
  <c r="S17" i="69" s="1"/>
  <c r="AE18" i="69"/>
  <c r="AH18" i="69" s="1"/>
  <c r="R18" i="69"/>
  <c r="S18" i="69" s="1"/>
  <c r="J40" i="36"/>
  <c r="J42" i="36"/>
  <c r="J44" i="36"/>
  <c r="J46" i="36"/>
  <c r="J48" i="36"/>
  <c r="AG16" i="69" l="1"/>
  <c r="AG33" i="57"/>
  <c r="X33" i="57"/>
  <c r="R34" i="57"/>
  <c r="M36" i="53"/>
  <c r="O36" i="53"/>
  <c r="AP20" i="69"/>
  <c r="N20" i="69"/>
  <c r="Q34" i="57"/>
  <c r="T34" i="57" s="1"/>
  <c r="AD34" i="57"/>
  <c r="M35" i="57"/>
  <c r="AK35" i="57" s="1"/>
  <c r="AQ34" i="57"/>
  <c r="N36" i="53"/>
  <c r="R34" i="53"/>
  <c r="AC34" i="53"/>
  <c r="AA33" i="53"/>
  <c r="AB33" i="53"/>
  <c r="O17" i="69"/>
  <c r="Y17" i="69" s="1"/>
  <c r="O18" i="69"/>
  <c r="AO16" i="69"/>
  <c r="L21" i="69"/>
  <c r="Q19" i="69"/>
  <c r="AA32" i="57"/>
  <c r="AE32" i="57" s="1"/>
  <c r="AF32" i="57" s="1"/>
  <c r="AB32" i="57"/>
  <c r="N35" i="57"/>
  <c r="AC32" i="57"/>
  <c r="AJ32" i="57" s="1"/>
  <c r="O34" i="57"/>
  <c r="AH31" i="53"/>
  <c r="Q34" i="53"/>
  <c r="AH32" i="53"/>
  <c r="AC35" i="53"/>
  <c r="AD34" i="53"/>
  <c r="AT34" i="53"/>
  <c r="AG33" i="53"/>
  <c r="AB15" i="69"/>
  <c r="R19" i="69"/>
  <c r="S19" i="69" s="1"/>
  <c r="AE19" i="69"/>
  <c r="AH19" i="69" s="1"/>
  <c r="AY19" i="69"/>
  <c r="D20" i="69"/>
  <c r="E20" i="69" s="1"/>
  <c r="F20" i="69" s="1"/>
  <c r="G20" i="69" s="1"/>
  <c r="H20" i="69" s="1"/>
  <c r="I20" i="69" s="1"/>
  <c r="J20" i="69" s="1"/>
  <c r="K20" i="69" s="1"/>
  <c r="M20" i="69"/>
  <c r="L36" i="57"/>
  <c r="L36" i="53"/>
  <c r="AK35" i="52" a="1"/>
  <c r="AK35" i="52" s="1"/>
  <c r="B37" i="53" s="1"/>
  <c r="C36" i="53"/>
  <c r="J36" i="53"/>
  <c r="F36" i="53"/>
  <c r="I36" i="53"/>
  <c r="G36" i="53"/>
  <c r="D36" i="53"/>
  <c r="H36" i="53"/>
  <c r="E36" i="53"/>
  <c r="K36" i="53"/>
  <c r="P36" i="53"/>
  <c r="I36" i="57"/>
  <c r="H36" i="57"/>
  <c r="G36" i="57"/>
  <c r="E36" i="57"/>
  <c r="D36" i="57"/>
  <c r="C36" i="57"/>
  <c r="K36" i="57"/>
  <c r="F36" i="57"/>
  <c r="J36" i="57"/>
  <c r="AN35" i="55" a="1"/>
  <c r="AN35" i="55" s="1"/>
  <c r="B37" i="57" s="1"/>
  <c r="P37" i="57" s="1"/>
  <c r="AR20" i="67" a="1"/>
  <c r="AR20" i="67" s="1"/>
  <c r="AR21" i="67" s="1" a="1"/>
  <c r="AR21" i="67" s="1"/>
  <c r="C21" i="69"/>
  <c r="P21" i="69" s="1"/>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R18" i="46" s="1"/>
  <c r="M17" i="46"/>
  <c r="I17" i="46"/>
  <c r="R17" i="46" s="1"/>
  <c r="M16" i="46"/>
  <c r="I16" i="46"/>
  <c r="M15" i="46"/>
  <c r="I15" i="46"/>
  <c r="M14" i="46"/>
  <c r="I14" i="46"/>
  <c r="M13" i="46"/>
  <c r="I13" i="46"/>
  <c r="M12" i="46"/>
  <c r="I12" i="46"/>
  <c r="Q103" i="29"/>
  <c r="E3" i="28" s="1"/>
  <c r="Q128" i="29"/>
  <c r="E41" i="28" s="1"/>
  <c r="O128" i="29"/>
  <c r="C41" i="28" s="1"/>
  <c r="M128" i="29"/>
  <c r="L128" i="29"/>
  <c r="Q127" i="29"/>
  <c r="E45" i="28" s="1"/>
  <c r="O127" i="29"/>
  <c r="C45" i="28" s="1"/>
  <c r="M127" i="29"/>
  <c r="L127" i="29"/>
  <c r="Q126" i="29"/>
  <c r="E43" i="28" s="1"/>
  <c r="O126" i="29"/>
  <c r="C43" i="28" s="1"/>
  <c r="M126" i="29"/>
  <c r="L126" i="29"/>
  <c r="Q125" i="29"/>
  <c r="E44" i="28" s="1"/>
  <c r="O125" i="29"/>
  <c r="C44" i="28" s="1"/>
  <c r="M125" i="29"/>
  <c r="L125" i="29"/>
  <c r="Q122" i="29"/>
  <c r="E42" i="28" s="1"/>
  <c r="O122" i="29"/>
  <c r="C42" i="28" s="1"/>
  <c r="M122" i="29"/>
  <c r="L122" i="29"/>
  <c r="Q121" i="29"/>
  <c r="E46" i="28" s="1"/>
  <c r="O121" i="29"/>
  <c r="C46" i="28" s="1"/>
  <c r="M121" i="29"/>
  <c r="L121" i="29"/>
  <c r="Q120" i="29"/>
  <c r="E47" i="28" s="1"/>
  <c r="O120" i="29"/>
  <c r="C47" i="28" s="1"/>
  <c r="M120" i="29"/>
  <c r="L120" i="29"/>
  <c r="Q118" i="29"/>
  <c r="E52" i="28" s="1"/>
  <c r="O118" i="29"/>
  <c r="C52" i="28" s="1"/>
  <c r="M118" i="29"/>
  <c r="L118" i="29"/>
  <c r="Q117" i="29"/>
  <c r="E51" i="28" s="1"/>
  <c r="O117" i="29"/>
  <c r="C51" i="28" s="1"/>
  <c r="M117" i="29"/>
  <c r="L117" i="29"/>
  <c r="Q112" i="29"/>
  <c r="E4" i="28" s="1"/>
  <c r="O112" i="29"/>
  <c r="C4" i="28" s="1"/>
  <c r="Q116" i="29"/>
  <c r="E49" i="28" s="1"/>
  <c r="O116" i="29"/>
  <c r="C49" i="28" s="1"/>
  <c r="M116" i="29"/>
  <c r="L116" i="29"/>
  <c r="Q115" i="29"/>
  <c r="E50" i="28" s="1"/>
  <c r="O115" i="29"/>
  <c r="C50" i="28" s="1"/>
  <c r="M115" i="29"/>
  <c r="L115" i="29"/>
  <c r="Q114" i="29"/>
  <c r="E48" i="28" s="1"/>
  <c r="O114" i="29"/>
  <c r="C48" i="28" s="1"/>
  <c r="M114" i="29"/>
  <c r="L114" i="29"/>
  <c r="Q111" i="29"/>
  <c r="E65" i="28" s="1"/>
  <c r="O111" i="29"/>
  <c r="C65" i="28" s="1"/>
  <c r="Q110" i="29"/>
  <c r="E64" i="28" s="1"/>
  <c r="O110" i="29"/>
  <c r="C64" i="28" s="1"/>
  <c r="Q109" i="29"/>
  <c r="E69" i="28" s="1"/>
  <c r="O109" i="29"/>
  <c r="C69" i="28" s="1"/>
  <c r="Q108" i="29"/>
  <c r="E68" i="28" s="1"/>
  <c r="O108" i="29"/>
  <c r="C68" i="28" s="1"/>
  <c r="Q107" i="29"/>
  <c r="E71" i="28" s="1"/>
  <c r="O107" i="29"/>
  <c r="C71" i="28" s="1"/>
  <c r="Q106" i="29"/>
  <c r="E70" i="28" s="1"/>
  <c r="O106" i="29"/>
  <c r="C70" i="28" s="1"/>
  <c r="Q105" i="29"/>
  <c r="E67" i="28" s="1"/>
  <c r="O105" i="29"/>
  <c r="C67" i="28" s="1"/>
  <c r="Q104" i="29"/>
  <c r="E66" i="28" s="1"/>
  <c r="O104" i="29"/>
  <c r="C66" i="28" s="1"/>
  <c r="O103" i="29"/>
  <c r="C3" i="28" s="1"/>
  <c r="Y18" i="69" l="1"/>
  <c r="AB18" i="69" s="1"/>
  <c r="AC18" i="69" s="1"/>
  <c r="AC36" i="53"/>
  <c r="AG34" i="57"/>
  <c r="X34" i="57"/>
  <c r="X34" i="53"/>
  <c r="AB34" i="53" s="1"/>
  <c r="M37" i="53"/>
  <c r="O37" i="53"/>
  <c r="AP21" i="69"/>
  <c r="N21" i="69"/>
  <c r="U21" i="69" s="1"/>
  <c r="Q35" i="57"/>
  <c r="T35" i="57" s="1"/>
  <c r="AQ35" i="57"/>
  <c r="AD35" i="57"/>
  <c r="M36" i="57"/>
  <c r="AK36" i="57" s="1"/>
  <c r="R35" i="57"/>
  <c r="U20" i="69"/>
  <c r="N37" i="53"/>
  <c r="O19" i="69"/>
  <c r="O35" i="57"/>
  <c r="Q20" i="69"/>
  <c r="AC15" i="69"/>
  <c r="AA33" i="57"/>
  <c r="AE33" i="57" s="1"/>
  <c r="AF33" i="57" s="1"/>
  <c r="AB33" i="57"/>
  <c r="AC33" i="57"/>
  <c r="AJ33" i="57" s="1"/>
  <c r="N36" i="57"/>
  <c r="AD35" i="53"/>
  <c r="AE33" i="53"/>
  <c r="AF33" i="53" s="1"/>
  <c r="AG34" i="53"/>
  <c r="Q35" i="53"/>
  <c r="AT35" i="53"/>
  <c r="R35" i="53"/>
  <c r="X35" i="53" s="1"/>
  <c r="AB17" i="69"/>
  <c r="R36" i="53"/>
  <c r="X36" i="53" s="1"/>
  <c r="D21" i="69"/>
  <c r="E21" i="69" s="1"/>
  <c r="F21" i="69" s="1"/>
  <c r="G21" i="69" s="1"/>
  <c r="H21" i="69" s="1"/>
  <c r="I21" i="69" s="1"/>
  <c r="J21" i="69" s="1"/>
  <c r="K21" i="69" s="1"/>
  <c r="D115" i="22"/>
  <c r="M21" i="69"/>
  <c r="AY20" i="69"/>
  <c r="L37" i="57"/>
  <c r="AT36" i="53"/>
  <c r="Q36" i="53"/>
  <c r="AD36" i="53"/>
  <c r="I37" i="53"/>
  <c r="C37" i="53"/>
  <c r="F37" i="53"/>
  <c r="L37" i="53"/>
  <c r="K37" i="53"/>
  <c r="E37" i="53"/>
  <c r="P37" i="53"/>
  <c r="H37" i="53"/>
  <c r="G37" i="53"/>
  <c r="AK36" i="52" a="1"/>
  <c r="AK36" i="52" s="1"/>
  <c r="B38" i="53" s="1"/>
  <c r="J37" i="53"/>
  <c r="D37" i="53"/>
  <c r="G37" i="57"/>
  <c r="I37" i="57"/>
  <c r="J37" i="57"/>
  <c r="F37" i="57"/>
  <c r="K37" i="57"/>
  <c r="H37" i="57"/>
  <c r="E37" i="57"/>
  <c r="D37" i="57"/>
  <c r="C37" i="57"/>
  <c r="AN36" i="55" a="1"/>
  <c r="AN36" i="55" s="1"/>
  <c r="B38" i="57" s="1"/>
  <c r="AE20" i="69"/>
  <c r="AH20" i="69" s="1"/>
  <c r="R20" i="69"/>
  <c r="S20" i="69" s="1"/>
  <c r="B22" i="69"/>
  <c r="AR22" i="67" a="1"/>
  <c r="AR22" i="67" s="1"/>
  <c r="B23" i="69"/>
  <c r="L23" i="69" s="1"/>
  <c r="Y19" i="69" l="1"/>
  <c r="AB19" i="69" s="1"/>
  <c r="AC19" i="69" s="1"/>
  <c r="AG35" i="57"/>
  <c r="X35" i="57"/>
  <c r="AB35" i="57" s="1"/>
  <c r="AA34" i="53"/>
  <c r="M38" i="53"/>
  <c r="AC38" i="53" s="1"/>
  <c r="O38" i="53"/>
  <c r="AD36" i="57"/>
  <c r="R36" i="57"/>
  <c r="Q36" i="57"/>
  <c r="T36" i="57" s="1"/>
  <c r="AQ36" i="57"/>
  <c r="M37" i="57"/>
  <c r="AK37" i="57" s="1"/>
  <c r="N38" i="53"/>
  <c r="AA36" i="53"/>
  <c r="AB36" i="53"/>
  <c r="AA35" i="53"/>
  <c r="AB35" i="53"/>
  <c r="O20" i="69"/>
  <c r="AD18" i="69"/>
  <c r="AF18" i="69"/>
  <c r="AG18" i="69" s="1"/>
  <c r="AD15" i="69"/>
  <c r="AF15" i="69"/>
  <c r="AG15" i="69" s="1"/>
  <c r="O22" i="69"/>
  <c r="L22" i="69"/>
  <c r="Q21" i="69"/>
  <c r="O38" i="57"/>
  <c r="P38" i="57"/>
  <c r="AC17" i="69"/>
  <c r="AA34" i="57"/>
  <c r="AE34" i="57" s="1"/>
  <c r="AF34" i="57" s="1"/>
  <c r="AB34" i="57"/>
  <c r="AC34" i="57"/>
  <c r="AJ34" i="57" s="1"/>
  <c r="O36" i="57"/>
  <c r="N37" i="57"/>
  <c r="AH33" i="53"/>
  <c r="AG36" i="53"/>
  <c r="AC37" i="53"/>
  <c r="AE34" i="53"/>
  <c r="AF34" i="53" s="1"/>
  <c r="AG35" i="53"/>
  <c r="O23" i="69"/>
  <c r="AY21" i="69"/>
  <c r="L38" i="57"/>
  <c r="N38" i="57"/>
  <c r="H38" i="53"/>
  <c r="AK37" i="52" a="1"/>
  <c r="AK37" i="52" s="1"/>
  <c r="B39" i="53" s="1"/>
  <c r="K38" i="53"/>
  <c r="D38" i="53"/>
  <c r="C38" i="53"/>
  <c r="G38" i="53"/>
  <c r="I38" i="53"/>
  <c r="F38" i="53"/>
  <c r="P38" i="53"/>
  <c r="L38" i="53"/>
  <c r="E38" i="53"/>
  <c r="J38" i="53"/>
  <c r="D38" i="57"/>
  <c r="K38" i="57"/>
  <c r="I38" i="57"/>
  <c r="H38" i="57"/>
  <c r="G38" i="57"/>
  <c r="E38" i="57"/>
  <c r="C38" i="57"/>
  <c r="F38" i="57"/>
  <c r="J38" i="57"/>
  <c r="AN37" i="55" a="1"/>
  <c r="AN37" i="55" s="1"/>
  <c r="B39" i="57" s="1"/>
  <c r="R21" i="69"/>
  <c r="S21" i="69" s="1"/>
  <c r="AE21" i="69"/>
  <c r="AH21" i="69" s="1"/>
  <c r="C22" i="69"/>
  <c r="P22" i="69" s="1"/>
  <c r="C23" i="69"/>
  <c r="P23" i="69" s="1"/>
  <c r="AR23" i="67" a="1"/>
  <c r="AR23" i="67" s="1"/>
  <c r="B24" i="69"/>
  <c r="L24" i="69" s="1"/>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O11" i="46" s="1"/>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A103" i="22"/>
  <c r="F107" i="22" l="1"/>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X103" i="22"/>
  <c r="T103"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s="1"/>
  <c r="AC20" i="69" s="1"/>
  <c r="AD20" i="69" s="1"/>
  <c r="AG38" i="57"/>
  <c r="AG36" i="57"/>
  <c r="X36" i="57"/>
  <c r="M39" i="53"/>
  <c r="AC39" i="53" s="1"/>
  <c r="O39" i="53"/>
  <c r="AP23" i="69"/>
  <c r="N23" i="69"/>
  <c r="U23" i="69" s="1"/>
  <c r="AP22" i="69"/>
  <c r="N22" i="69"/>
  <c r="U22" i="69" s="1"/>
  <c r="Q37" i="57"/>
  <c r="T37" i="57" s="1"/>
  <c r="AQ37" i="57"/>
  <c r="R37" i="57"/>
  <c r="AD37" i="57"/>
  <c r="M38" i="57"/>
  <c r="AK38" i="57" s="1"/>
  <c r="N39" i="53"/>
  <c r="O21" i="69"/>
  <c r="AF20" i="69"/>
  <c r="AD19" i="69"/>
  <c r="AF19" i="69"/>
  <c r="AG19" i="69" s="1"/>
  <c r="AO18" i="69"/>
  <c r="AD17" i="69"/>
  <c r="AF17" i="69"/>
  <c r="AG17" i="69" s="1"/>
  <c r="AO15" i="69"/>
  <c r="AA35" i="57"/>
  <c r="AE35" i="57" s="1"/>
  <c r="AF35" i="57" s="1"/>
  <c r="O39" i="57"/>
  <c r="P39" i="57"/>
  <c r="AC35" i="57"/>
  <c r="AJ35" i="57" s="1"/>
  <c r="O37" i="57"/>
  <c r="AH34" i="53"/>
  <c r="AD37" i="53"/>
  <c r="R37" i="53"/>
  <c r="X37" i="53" s="1"/>
  <c r="AT37" i="53"/>
  <c r="Q37" i="53"/>
  <c r="O24" i="69"/>
  <c r="AO23" i="69"/>
  <c r="AE38" i="53"/>
  <c r="R38" i="53"/>
  <c r="X38" i="53" s="1"/>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AH38" i="53"/>
  <c r="AT38" i="53"/>
  <c r="AG38" i="53"/>
  <c r="N39" i="57"/>
  <c r="C39" i="53"/>
  <c r="AD38" i="53"/>
  <c r="Q38" i="53"/>
  <c r="F39" i="53"/>
  <c r="G39" i="53"/>
  <c r="K39" i="53"/>
  <c r="D39" i="53"/>
  <c r="H39" i="53"/>
  <c r="L39" i="53"/>
  <c r="AK38" i="52" a="1"/>
  <c r="AK38" i="52" s="1"/>
  <c r="B40" i="53" s="1"/>
  <c r="P39" i="53"/>
  <c r="J39" i="53"/>
  <c r="E39" i="53"/>
  <c r="I39" i="53"/>
  <c r="F39" i="57"/>
  <c r="K39" i="57"/>
  <c r="I39" i="57"/>
  <c r="C39" i="57"/>
  <c r="H39" i="57"/>
  <c r="D39" i="57"/>
  <c r="E39" i="57"/>
  <c r="G39" i="57"/>
  <c r="J39" i="57"/>
  <c r="AN38" i="55" a="1"/>
  <c r="AN38" i="55" s="1"/>
  <c r="B40" i="57" s="1"/>
  <c r="D22" i="69"/>
  <c r="E22" i="69" s="1"/>
  <c r="F22" i="69" s="1"/>
  <c r="G22" i="69" s="1"/>
  <c r="H22" i="69" s="1"/>
  <c r="I22" i="69" s="1"/>
  <c r="J22" i="69" s="1"/>
  <c r="K22" i="69" s="1"/>
  <c r="M22" i="69" s="1"/>
  <c r="AR24" i="67" a="1"/>
  <c r="AR24" i="67" s="1"/>
  <c r="B25" i="69"/>
  <c r="L25" i="69" s="1"/>
  <c r="D23" i="69"/>
  <c r="E23" i="69" s="1"/>
  <c r="F23" i="69" s="1"/>
  <c r="G23" i="69" s="1"/>
  <c r="H23" i="69" s="1"/>
  <c r="I23" i="69" s="1"/>
  <c r="J23" i="69" s="1"/>
  <c r="K23" i="69" s="1"/>
  <c r="M23" i="69" s="1"/>
  <c r="C24" i="69"/>
  <c r="P24" i="69" s="1"/>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l="1"/>
  <c r="AB21" i="69" s="1"/>
  <c r="AC21" i="69" s="1"/>
  <c r="AG20" i="69"/>
  <c r="AG37" i="57"/>
  <c r="X37" i="57"/>
  <c r="AG39" i="57"/>
  <c r="AE38" i="57"/>
  <c r="M40" i="53"/>
  <c r="AC40" i="53" s="1"/>
  <c r="O40" i="53"/>
  <c r="AP24" i="69"/>
  <c r="N24" i="69"/>
  <c r="U24" i="69" s="1"/>
  <c r="AC38" i="57"/>
  <c r="Q38" i="57"/>
  <c r="T38" i="57" s="1"/>
  <c r="AD38" i="57"/>
  <c r="AQ38" i="57"/>
  <c r="AJ38" i="57"/>
  <c r="R38" i="57"/>
  <c r="M39" i="57"/>
  <c r="AK39" i="57" s="1"/>
  <c r="N40" i="53"/>
  <c r="AA37" i="53"/>
  <c r="AB37" i="53"/>
  <c r="AA38" i="53"/>
  <c r="AB38" i="53"/>
  <c r="AO20" i="69"/>
  <c r="AO19" i="69"/>
  <c r="AO17" i="69"/>
  <c r="AF22" i="69"/>
  <c r="Q22" i="69"/>
  <c r="AF23" i="69"/>
  <c r="Q23" i="69"/>
  <c r="O40" i="57"/>
  <c r="P40" i="57"/>
  <c r="AA36" i="57"/>
  <c r="AE36" i="57" s="1"/>
  <c r="AF36" i="57" s="1"/>
  <c r="AB36" i="57"/>
  <c r="AC36" i="57"/>
  <c r="AJ36" i="57" s="1"/>
  <c r="AG37" i="53"/>
  <c r="AE36" i="53"/>
  <c r="AF36" i="53" s="1"/>
  <c r="AE35" i="53"/>
  <c r="AF35" i="53" s="1"/>
  <c r="AO24" i="69"/>
  <c r="O25" i="69"/>
  <c r="AE39" i="53"/>
  <c r="AF38" i="53"/>
  <c r="R39" i="53"/>
  <c r="X39" i="53" s="1"/>
  <c r="AY22" i="69"/>
  <c r="AY23" i="69"/>
  <c r="L40" i="57"/>
  <c r="AH39" i="53"/>
  <c r="AT39" i="53"/>
  <c r="AG39" i="53"/>
  <c r="N40" i="57"/>
  <c r="H40" i="53"/>
  <c r="AH22" i="69"/>
  <c r="AH23" i="69"/>
  <c r="AD39" i="53"/>
  <c r="AK39" i="52" a="1"/>
  <c r="AK39" i="52" s="1"/>
  <c r="B41" i="53" s="1"/>
  <c r="G40" i="53"/>
  <c r="E40" i="53"/>
  <c r="D40" i="53"/>
  <c r="J40" i="53"/>
  <c r="F40" i="53"/>
  <c r="P40" i="53"/>
  <c r="Q39" i="53"/>
  <c r="K40" i="53"/>
  <c r="L40" i="53"/>
  <c r="I40" i="53"/>
  <c r="C40" i="53"/>
  <c r="K40" i="57"/>
  <c r="G40" i="57"/>
  <c r="E40" i="57"/>
  <c r="D40" i="57"/>
  <c r="C40" i="57"/>
  <c r="H40" i="57"/>
  <c r="I40" i="57"/>
  <c r="F40" i="57"/>
  <c r="J40" i="57"/>
  <c r="AN39" i="55" a="1"/>
  <c r="AN39" i="55" s="1"/>
  <c r="B41" i="57" s="1"/>
  <c r="AE22" i="69"/>
  <c r="R22" i="69"/>
  <c r="S22" i="69" s="1"/>
  <c r="D24" i="69"/>
  <c r="E24" i="69" s="1"/>
  <c r="F24" i="69" s="1"/>
  <c r="G24" i="69" s="1"/>
  <c r="H24" i="69" s="1"/>
  <c r="I24" i="69" s="1"/>
  <c r="J24" i="69" s="1"/>
  <c r="K24" i="69" s="1"/>
  <c r="M24" i="69" s="1"/>
  <c r="R23" i="69"/>
  <c r="S23" i="69" s="1"/>
  <c r="Y23" i="69" s="1"/>
  <c r="AE23" i="69"/>
  <c r="C25" i="69"/>
  <c r="P25" i="69" s="1"/>
  <c r="AR25" i="67" a="1"/>
  <c r="AR25" i="67" s="1"/>
  <c r="B26" i="69"/>
  <c r="L26" i="69" s="1"/>
  <c r="Y22" i="69" l="1"/>
  <c r="AB22" i="69" s="1"/>
  <c r="AC22" i="69" s="1"/>
  <c r="AD22" i="69" s="1"/>
  <c r="X38" i="57"/>
  <c r="AB38" i="57" s="1"/>
  <c r="AG40" i="57"/>
  <c r="M41" i="53"/>
  <c r="AC41" i="53" s="1"/>
  <c r="O41" i="53"/>
  <c r="AP25" i="69"/>
  <c r="N25" i="69"/>
  <c r="U25" i="69" s="1"/>
  <c r="AJ39" i="57"/>
  <c r="R39" i="57"/>
  <c r="AC39" i="57"/>
  <c r="Q39" i="57"/>
  <c r="T39" i="57" s="1"/>
  <c r="AD39" i="57"/>
  <c r="AQ39" i="57"/>
  <c r="AE39" i="57"/>
  <c r="M40" i="57"/>
  <c r="AK40" i="57" s="1"/>
  <c r="N41" i="53"/>
  <c r="AA39" i="53"/>
  <c r="AB39" i="53"/>
  <c r="AD21" i="69"/>
  <c r="AF21" i="69"/>
  <c r="AG21" i="69" s="1"/>
  <c r="AF24" i="69"/>
  <c r="Q24" i="69"/>
  <c r="O41" i="57"/>
  <c r="P41" i="57"/>
  <c r="AA37" i="57"/>
  <c r="AE37" i="57" s="1"/>
  <c r="AF37" i="57" s="1"/>
  <c r="AB37" i="57"/>
  <c r="AC37" i="57"/>
  <c r="AJ37" i="57" s="1"/>
  <c r="AH35" i="53"/>
  <c r="AH36" i="53"/>
  <c r="AE37" i="53"/>
  <c r="AF37" i="53" s="1"/>
  <c r="AH37" i="53"/>
  <c r="AB23" i="69"/>
  <c r="AG23" i="69"/>
  <c r="O26" i="69"/>
  <c r="AO25" i="69"/>
  <c r="AF39" i="53"/>
  <c r="AE40" i="53"/>
  <c r="R40" i="53"/>
  <c r="X40" i="53" s="1"/>
  <c r="AY24" i="69"/>
  <c r="L41" i="57"/>
  <c r="AG40" i="53"/>
  <c r="AH40" i="53"/>
  <c r="AT40" i="53"/>
  <c r="N41" i="57"/>
  <c r="I41" i="53"/>
  <c r="AH24" i="69"/>
  <c r="AD40" i="53"/>
  <c r="D41" i="53"/>
  <c r="K41" i="53"/>
  <c r="P41" i="53"/>
  <c r="J41" i="53"/>
  <c r="E41" i="53"/>
  <c r="L41" i="53"/>
  <c r="F41" i="53"/>
  <c r="G41" i="53"/>
  <c r="Q40" i="53"/>
  <c r="AK40" i="52" a="1"/>
  <c r="AK40" i="52" s="1"/>
  <c r="B42" i="53" s="1"/>
  <c r="H41" i="53"/>
  <c r="C41" i="53"/>
  <c r="K41" i="57"/>
  <c r="J41" i="57"/>
  <c r="E41" i="57"/>
  <c r="C41" i="57"/>
  <c r="I41" i="57"/>
  <c r="H41" i="57"/>
  <c r="D41" i="57"/>
  <c r="G41" i="57"/>
  <c r="F41" i="57"/>
  <c r="AN40" i="55" a="1"/>
  <c r="AN40" i="55" s="1"/>
  <c r="B42" i="57" s="1"/>
  <c r="AR26" i="67" a="1"/>
  <c r="AR26" i="67" s="1"/>
  <c r="B27" i="69"/>
  <c r="L27" i="69" s="1"/>
  <c r="D25" i="69"/>
  <c r="E25" i="69" s="1"/>
  <c r="F25" i="69" s="1"/>
  <c r="G25" i="69" s="1"/>
  <c r="H25" i="69" s="1"/>
  <c r="I25" i="69" s="1"/>
  <c r="J25" i="69" s="1"/>
  <c r="K25" i="69" s="1"/>
  <c r="M25" i="69" s="1"/>
  <c r="AE24" i="69"/>
  <c r="R24" i="69"/>
  <c r="S24" i="69" s="1"/>
  <c r="Y24" i="69" s="1"/>
  <c r="C26" i="69"/>
  <c r="P26" i="69" s="1"/>
  <c r="AG22" i="69" l="1"/>
  <c r="AB24" i="69"/>
  <c r="AC24" i="69" s="1"/>
  <c r="AD24" i="69" s="1"/>
  <c r="X39" i="57"/>
  <c r="AA39" i="57" s="1"/>
  <c r="AG41" i="57"/>
  <c r="M42" i="53"/>
  <c r="AC42" i="53" s="1"/>
  <c r="O42" i="53"/>
  <c r="AP26" i="69"/>
  <c r="N26" i="69"/>
  <c r="U26" i="69" s="1"/>
  <c r="AF38" i="57"/>
  <c r="AA38" i="57"/>
  <c r="AQ40" i="57"/>
  <c r="AD40" i="57"/>
  <c r="AJ40" i="57"/>
  <c r="R40" i="57"/>
  <c r="AE40" i="57"/>
  <c r="Q40" i="57"/>
  <c r="T40" i="57" s="1"/>
  <c r="AC40" i="57"/>
  <c r="M41" i="57"/>
  <c r="AK41" i="57" s="1"/>
  <c r="N42" i="53"/>
  <c r="AA40" i="53"/>
  <c r="AB40" i="53"/>
  <c r="AO21" i="69"/>
  <c r="AF25" i="69"/>
  <c r="Q25" i="69"/>
  <c r="O42" i="57"/>
  <c r="P42" i="57"/>
  <c r="AC23" i="69"/>
  <c r="AD23" i="69" s="1"/>
  <c r="O27" i="69"/>
  <c r="AG24" i="69"/>
  <c r="AO26" i="69"/>
  <c r="AE41" i="53"/>
  <c r="AF40" i="53"/>
  <c r="R41" i="53"/>
  <c r="X41" i="53" s="1"/>
  <c r="AY25" i="69"/>
  <c r="L42" i="57"/>
  <c r="AG41" i="53"/>
  <c r="AH41" i="53"/>
  <c r="AT41" i="53"/>
  <c r="N42" i="57"/>
  <c r="D42" i="53"/>
  <c r="AH25" i="69"/>
  <c r="AD41" i="53"/>
  <c r="K42" i="53"/>
  <c r="L42" i="53"/>
  <c r="H42" i="53"/>
  <c r="J42" i="53"/>
  <c r="P42" i="53"/>
  <c r="Q41" i="53"/>
  <c r="C42" i="53"/>
  <c r="G42" i="53"/>
  <c r="F42" i="53"/>
  <c r="AK41" i="52" a="1"/>
  <c r="AK41" i="52" s="1"/>
  <c r="B43" i="53" s="1"/>
  <c r="I42" i="53"/>
  <c r="E42" i="53"/>
  <c r="I42" i="57"/>
  <c r="E42" i="57"/>
  <c r="D42" i="57"/>
  <c r="C42" i="57"/>
  <c r="K42" i="57"/>
  <c r="H42" i="57"/>
  <c r="G42" i="57"/>
  <c r="F42" i="57"/>
  <c r="J42" i="57"/>
  <c r="AN41" i="55" a="1"/>
  <c r="AN41" i="55" s="1"/>
  <c r="B43" i="57" s="1"/>
  <c r="AR27" i="67" a="1"/>
  <c r="AR27" i="67" s="1"/>
  <c r="B28" i="69"/>
  <c r="L28" i="69" s="1"/>
  <c r="R25" i="69"/>
  <c r="S25" i="69" s="1"/>
  <c r="Y25" i="69" s="1"/>
  <c r="AE25" i="69"/>
  <c r="D26" i="69"/>
  <c r="E26" i="69" s="1"/>
  <c r="F26" i="69" s="1"/>
  <c r="G26" i="69" s="1"/>
  <c r="H26" i="69" s="1"/>
  <c r="I26" i="69" s="1"/>
  <c r="J26" i="69" s="1"/>
  <c r="K26" i="69" s="1"/>
  <c r="M26" i="69" s="1"/>
  <c r="C27" i="69"/>
  <c r="P27" i="69" s="1"/>
  <c r="X40" i="57" l="1"/>
  <c r="AB40" i="57" s="1"/>
  <c r="AG42" i="57"/>
  <c r="M43" i="53"/>
  <c r="AC43" i="53" s="1"/>
  <c r="O43" i="53"/>
  <c r="AP27" i="69"/>
  <c r="N27" i="69"/>
  <c r="U27" i="69" s="1"/>
  <c r="AF39" i="57"/>
  <c r="AB39" i="57"/>
  <c r="AJ41" i="57"/>
  <c r="R41" i="57"/>
  <c r="AD41" i="57"/>
  <c r="AE41" i="57"/>
  <c r="Q41" i="57"/>
  <c r="T41" i="57" s="1"/>
  <c r="AC41" i="57"/>
  <c r="AQ41" i="57"/>
  <c r="M42" i="57"/>
  <c r="AK42" i="57" s="1"/>
  <c r="N43" i="53"/>
  <c r="AA41" i="53"/>
  <c r="AB41" i="53"/>
  <c r="AF26" i="69"/>
  <c r="Q26" i="69"/>
  <c r="O43" i="57"/>
  <c r="P43" i="57"/>
  <c r="AB25" i="69"/>
  <c r="AG25" i="69"/>
  <c r="O28" i="69"/>
  <c r="AO27" i="69"/>
  <c r="AE42" i="53"/>
  <c r="AF41" i="53"/>
  <c r="R42" i="53"/>
  <c r="X42" i="53" s="1"/>
  <c r="AY26" i="69"/>
  <c r="L43" i="57"/>
  <c r="AH42" i="53"/>
  <c r="AT42" i="53"/>
  <c r="AG42" i="53"/>
  <c r="N43" i="57"/>
  <c r="L43" i="53"/>
  <c r="AH26" i="69"/>
  <c r="AD42" i="53"/>
  <c r="Q42" i="53"/>
  <c r="P43" i="53"/>
  <c r="K43" i="53"/>
  <c r="F43" i="53"/>
  <c r="E43" i="53"/>
  <c r="I43" i="53"/>
  <c r="C43" i="53"/>
  <c r="J43" i="53"/>
  <c r="G43" i="53"/>
  <c r="AK42" i="52" a="1"/>
  <c r="AK42" i="52" s="1"/>
  <c r="B44" i="53" s="1"/>
  <c r="D43" i="53"/>
  <c r="H43" i="53"/>
  <c r="K43" i="57"/>
  <c r="F43" i="57"/>
  <c r="E43" i="57"/>
  <c r="C43" i="57"/>
  <c r="J43" i="57"/>
  <c r="I43" i="57"/>
  <c r="H43" i="57"/>
  <c r="D43" i="57"/>
  <c r="G43" i="57"/>
  <c r="AN42" i="55" a="1"/>
  <c r="AN42" i="55" s="1"/>
  <c r="B44" i="57" s="1"/>
  <c r="D27" i="69"/>
  <c r="E27" i="69" s="1"/>
  <c r="F27" i="69" s="1"/>
  <c r="G27" i="69" s="1"/>
  <c r="H27" i="69" s="1"/>
  <c r="I27" i="69" s="1"/>
  <c r="J27" i="69" s="1"/>
  <c r="K27" i="69" s="1"/>
  <c r="M27" i="69" s="1"/>
  <c r="AE26" i="69"/>
  <c r="R26" i="69"/>
  <c r="S26" i="69" s="1"/>
  <c r="Y26" i="69" s="1"/>
  <c r="C28" i="69"/>
  <c r="P28" i="69" s="1"/>
  <c r="AR28" i="67" a="1"/>
  <c r="AR28" i="67" s="1"/>
  <c r="B29" i="69"/>
  <c r="L29" i="69" s="1"/>
  <c r="AG43" i="57" l="1"/>
  <c r="X41" i="57"/>
  <c r="AA41" i="57" s="1"/>
  <c r="M44" i="53"/>
  <c r="AC44" i="53" s="1"/>
  <c r="O44" i="53"/>
  <c r="AP28" i="69"/>
  <c r="N28" i="69"/>
  <c r="U28" i="69" s="1"/>
  <c r="AF40" i="57"/>
  <c r="AA40" i="57"/>
  <c r="Q42" i="57"/>
  <c r="T42" i="57" s="1"/>
  <c r="AQ42" i="57"/>
  <c r="AC42" i="57"/>
  <c r="AE42" i="57"/>
  <c r="AD42" i="57"/>
  <c r="AJ42" i="57"/>
  <c r="R42" i="57"/>
  <c r="M43" i="57"/>
  <c r="AE43" i="57" s="1"/>
  <c r="N44" i="53"/>
  <c r="AA42" i="53"/>
  <c r="AB42" i="53"/>
  <c r="AF27" i="69"/>
  <c r="Q27" i="69"/>
  <c r="O44" i="57"/>
  <c r="P44" i="57"/>
  <c r="AC25" i="69"/>
  <c r="AD25" i="69" s="1"/>
  <c r="AB26" i="69"/>
  <c r="AG26" i="69"/>
  <c r="AO28" i="69"/>
  <c r="O29" i="69"/>
  <c r="AF42" i="53"/>
  <c r="AE43" i="53"/>
  <c r="R43" i="53"/>
  <c r="X43" i="53" s="1"/>
  <c r="AY27" i="69"/>
  <c r="L44" i="57"/>
  <c r="AG43" i="53"/>
  <c r="AH43" i="53"/>
  <c r="AT43" i="53"/>
  <c r="N44" i="57"/>
  <c r="E44" i="53"/>
  <c r="AH27" i="69"/>
  <c r="Q43" i="53"/>
  <c r="AD43" i="53"/>
  <c r="AK43" i="52" a="1"/>
  <c r="AK43" i="52" s="1"/>
  <c r="B45" i="53" s="1"/>
  <c r="H44" i="53"/>
  <c r="D44" i="53"/>
  <c r="P44" i="53"/>
  <c r="F44" i="53"/>
  <c r="K44" i="53"/>
  <c r="I44" i="53"/>
  <c r="J44" i="53"/>
  <c r="C44" i="53"/>
  <c r="G44" i="53"/>
  <c r="L44" i="53"/>
  <c r="H44" i="57"/>
  <c r="G44" i="57"/>
  <c r="E44" i="57"/>
  <c r="D44" i="57"/>
  <c r="C44" i="57"/>
  <c r="K44" i="57"/>
  <c r="I44" i="57"/>
  <c r="F44" i="57"/>
  <c r="J44" i="57"/>
  <c r="AN43" i="55" a="1"/>
  <c r="AN43" i="55" s="1"/>
  <c r="B45" i="57" s="1"/>
  <c r="AR29" i="67" a="1"/>
  <c r="AR29" i="67" s="1"/>
  <c r="B30" i="69"/>
  <c r="L30" i="69" s="1"/>
  <c r="C29" i="69"/>
  <c r="P29" i="69" s="1"/>
  <c r="D28" i="69"/>
  <c r="E28" i="69" s="1"/>
  <c r="F28" i="69" s="1"/>
  <c r="G28" i="69" s="1"/>
  <c r="H28" i="69" s="1"/>
  <c r="I28" i="69" s="1"/>
  <c r="J28" i="69" s="1"/>
  <c r="K28" i="69" s="1"/>
  <c r="M28" i="69" s="1"/>
  <c r="AE27" i="69"/>
  <c r="R27" i="69"/>
  <c r="S27" i="69" s="1"/>
  <c r="C41" i="33"/>
  <c r="Y27" i="69" l="1"/>
  <c r="AB27" i="69" s="1"/>
  <c r="AC27" i="69" s="1"/>
  <c r="AD27" i="69" s="1"/>
  <c r="X42" i="57"/>
  <c r="AB42" i="57" s="1"/>
  <c r="AG44" i="57"/>
  <c r="M45" i="53"/>
  <c r="AC45" i="53" s="1"/>
  <c r="O45" i="53"/>
  <c r="AP29" i="69"/>
  <c r="N29" i="69"/>
  <c r="U29" i="69" s="1"/>
  <c r="AF41" i="57"/>
  <c r="AQ43" i="57"/>
  <c r="AB41" i="57"/>
  <c r="M44" i="57"/>
  <c r="AK44" i="57" s="1"/>
  <c r="AD43" i="57"/>
  <c r="AJ43" i="57"/>
  <c r="AK43" i="57"/>
  <c r="Q43" i="57"/>
  <c r="T43" i="57" s="1"/>
  <c r="AC43" i="57"/>
  <c r="R43" i="57"/>
  <c r="N45" i="53"/>
  <c r="AA43" i="53"/>
  <c r="AB43" i="53"/>
  <c r="AF28" i="69"/>
  <c r="Q28" i="69"/>
  <c r="O45" i="57"/>
  <c r="P45" i="57"/>
  <c r="AC26" i="69"/>
  <c r="AD26" i="69" s="1"/>
  <c r="O30" i="69"/>
  <c r="AO29" i="69"/>
  <c r="AE44" i="53"/>
  <c r="AF43" i="53"/>
  <c r="R44" i="53"/>
  <c r="X44" i="53" s="1"/>
  <c r="AY28" i="69"/>
  <c r="L45" i="57"/>
  <c r="AH44" i="53"/>
  <c r="AT44" i="53"/>
  <c r="AG44" i="53"/>
  <c r="N45" i="57"/>
  <c r="AH28" i="69"/>
  <c r="Q44" i="53"/>
  <c r="AD44" i="53"/>
  <c r="AK44" i="52" a="1"/>
  <c r="AK44" i="52" s="1"/>
  <c r="B46" i="53" s="1"/>
  <c r="L45" i="53"/>
  <c r="C45" i="53"/>
  <c r="I45" i="53"/>
  <c r="F45" i="53"/>
  <c r="K45" i="53"/>
  <c r="J45" i="53"/>
  <c r="D45" i="53"/>
  <c r="G45" i="53"/>
  <c r="P45" i="53"/>
  <c r="H45" i="53"/>
  <c r="E45" i="53"/>
  <c r="C45" i="57"/>
  <c r="J45" i="57"/>
  <c r="F45" i="57"/>
  <c r="I45" i="57"/>
  <c r="K45" i="57"/>
  <c r="H45" i="57"/>
  <c r="D45" i="57"/>
  <c r="G45" i="57"/>
  <c r="E45" i="57"/>
  <c r="AN44" i="55" a="1"/>
  <c r="AN44" i="55" s="1"/>
  <c r="B46" i="57" s="1"/>
  <c r="D29" i="69"/>
  <c r="E29" i="69" s="1"/>
  <c r="F29" i="69" s="1"/>
  <c r="G29" i="69" s="1"/>
  <c r="H29" i="69" s="1"/>
  <c r="I29" i="69" s="1"/>
  <c r="J29" i="69" s="1"/>
  <c r="K29" i="69" s="1"/>
  <c r="M29" i="69" s="1"/>
  <c r="AE28" i="69"/>
  <c r="R28" i="69"/>
  <c r="S28" i="69" s="1"/>
  <c r="Y28" i="69" s="1"/>
  <c r="C30" i="69"/>
  <c r="P30" i="69" s="1"/>
  <c r="AR30" i="67" a="1"/>
  <c r="AR30" i="67" s="1"/>
  <c r="B31" i="69"/>
  <c r="L31" i="69" s="1"/>
  <c r="B2" i="73"/>
  <c r="B2" i="36"/>
  <c r="AG27" i="69" l="1"/>
  <c r="X43" i="57"/>
  <c r="AB43" i="57" s="1"/>
  <c r="AG45" i="57"/>
  <c r="M46" i="53"/>
  <c r="AC46" i="53" s="1"/>
  <c r="O46" i="53"/>
  <c r="AP30" i="69"/>
  <c r="N30" i="69"/>
  <c r="U30" i="69" s="1"/>
  <c r="AQ44" i="57"/>
  <c r="Q44" i="57"/>
  <c r="T44" i="57" s="1"/>
  <c r="AD44" i="57"/>
  <c r="AA42" i="57"/>
  <c r="AF42" i="57"/>
  <c r="AJ44" i="57"/>
  <c r="R44" i="57"/>
  <c r="AE44" i="57"/>
  <c r="AC44" i="57"/>
  <c r="M45" i="57"/>
  <c r="AK45" i="57" s="1"/>
  <c r="N46" i="53"/>
  <c r="AA44" i="53"/>
  <c r="AB44" i="53"/>
  <c r="AF29" i="69"/>
  <c r="Q29" i="69"/>
  <c r="O46" i="57"/>
  <c r="P46" i="57"/>
  <c r="AB28" i="69"/>
  <c r="AG28" i="69"/>
  <c r="AO30" i="69"/>
  <c r="O31" i="69"/>
  <c r="AF44" i="53"/>
  <c r="AE45" i="53"/>
  <c r="R45" i="53"/>
  <c r="X45" i="53" s="1"/>
  <c r="AY29" i="69"/>
  <c r="L46" i="57"/>
  <c r="AG45" i="53"/>
  <c r="AD45" i="53"/>
  <c r="AH45" i="53"/>
  <c r="AT45" i="53"/>
  <c r="N46" i="57"/>
  <c r="Q45" i="53"/>
  <c r="H46" i="53"/>
  <c r="AH29" i="69"/>
  <c r="AK45" i="52" a="1"/>
  <c r="AK45" i="52" s="1"/>
  <c r="B47" i="53" s="1"/>
  <c r="K46" i="53"/>
  <c r="G46" i="53"/>
  <c r="D46" i="53"/>
  <c r="E46" i="53"/>
  <c r="J46" i="53"/>
  <c r="C46" i="53"/>
  <c r="P46" i="53"/>
  <c r="F46" i="53"/>
  <c r="I46" i="53"/>
  <c r="L46" i="53"/>
  <c r="D46" i="57"/>
  <c r="K46" i="57"/>
  <c r="I46" i="57"/>
  <c r="H46" i="57"/>
  <c r="G46" i="57"/>
  <c r="E46" i="57"/>
  <c r="C46" i="57"/>
  <c r="F46" i="57"/>
  <c r="J46" i="57"/>
  <c r="AN45" i="55" a="1"/>
  <c r="AN45" i="55" s="1"/>
  <c r="B47" i="57" s="1"/>
  <c r="AR31" i="67" a="1"/>
  <c r="AR31" i="67" s="1"/>
  <c r="B32" i="69"/>
  <c r="L32" i="69" s="1"/>
  <c r="R29" i="69"/>
  <c r="S29" i="69" s="1"/>
  <c r="Y29" i="69" s="1"/>
  <c r="AE29" i="69"/>
  <c r="D30" i="69"/>
  <c r="E30" i="69" s="1"/>
  <c r="F30" i="69" s="1"/>
  <c r="G30" i="69" s="1"/>
  <c r="H30" i="69" s="1"/>
  <c r="I30" i="69" s="1"/>
  <c r="J30" i="69" s="1"/>
  <c r="K30" i="69" s="1"/>
  <c r="M30" i="69" s="1"/>
  <c r="C31" i="69"/>
  <c r="P31" i="69" s="1"/>
  <c r="X44" i="57" l="1"/>
  <c r="AB44" i="57" s="1"/>
  <c r="AG46" i="57"/>
  <c r="M47" i="53"/>
  <c r="AC47" i="53" s="1"/>
  <c r="O47" i="53"/>
  <c r="AP31" i="69"/>
  <c r="N31" i="69"/>
  <c r="U31" i="69" s="1"/>
  <c r="AQ45" i="57"/>
  <c r="Q45" i="57"/>
  <c r="T45" i="57" s="1"/>
  <c r="AC45" i="57"/>
  <c r="AJ45" i="57"/>
  <c r="R45" i="57"/>
  <c r="AD45" i="57"/>
  <c r="AE45" i="57"/>
  <c r="AA43" i="57"/>
  <c r="AF43" i="57"/>
  <c r="M46" i="57"/>
  <c r="AK46" i="57" s="1"/>
  <c r="N47" i="53"/>
  <c r="AA45" i="53"/>
  <c r="AB45" i="53"/>
  <c r="AF30" i="69"/>
  <c r="Q30" i="69"/>
  <c r="O47" i="57"/>
  <c r="P47" i="57"/>
  <c r="AC28" i="69"/>
  <c r="AD28" i="69" s="1"/>
  <c r="AB29" i="69"/>
  <c r="AG29" i="69"/>
  <c r="AO31" i="69"/>
  <c r="O32" i="69"/>
  <c r="AE46" i="53"/>
  <c r="AF45" i="53"/>
  <c r="R46" i="53"/>
  <c r="X46" i="53" s="1"/>
  <c r="AY30" i="69"/>
  <c r="L47" i="57"/>
  <c r="AH46" i="53"/>
  <c r="AT46" i="53"/>
  <c r="AG46" i="53"/>
  <c r="N47" i="57"/>
  <c r="K47" i="53"/>
  <c r="AH30" i="69"/>
  <c r="AD46" i="53"/>
  <c r="Q46" i="53"/>
  <c r="J47" i="53"/>
  <c r="C47" i="53"/>
  <c r="G47" i="53"/>
  <c r="D47" i="53"/>
  <c r="H47" i="53"/>
  <c r="E47" i="53"/>
  <c r="I47" i="53"/>
  <c r="AK46" i="52" a="1"/>
  <c r="AK46" i="52" s="1"/>
  <c r="B48" i="53" s="1"/>
  <c r="L47" i="53"/>
  <c r="F47" i="53"/>
  <c r="P47" i="53"/>
  <c r="F47" i="57"/>
  <c r="K47" i="57"/>
  <c r="I47" i="57"/>
  <c r="C47" i="57"/>
  <c r="E47" i="57"/>
  <c r="J47" i="57"/>
  <c r="H47" i="57"/>
  <c r="D47" i="57"/>
  <c r="G47" i="57"/>
  <c r="AN46" i="55" a="1"/>
  <c r="AN46" i="55" s="1"/>
  <c r="B48" i="57" s="1"/>
  <c r="AR32" i="67" a="1"/>
  <c r="AR32" i="67" s="1"/>
  <c r="B33" i="69"/>
  <c r="L33" i="69" s="1"/>
  <c r="C32" i="69"/>
  <c r="P32" i="69" s="1"/>
  <c r="R30" i="69"/>
  <c r="S30" i="69" s="1"/>
  <c r="AE30" i="69"/>
  <c r="D31" i="69"/>
  <c r="E31" i="69" s="1"/>
  <c r="F31" i="69" s="1"/>
  <c r="G31" i="69" s="1"/>
  <c r="H31" i="69" s="1"/>
  <c r="I31" i="69" s="1"/>
  <c r="J31" i="69" s="1"/>
  <c r="K31" i="69" s="1"/>
  <c r="M31" i="69" s="1"/>
  <c r="H4" i="32"/>
  <c r="Y30" i="69" l="1"/>
  <c r="AB30" i="69" s="1"/>
  <c r="AC30" i="69" s="1"/>
  <c r="AD30" i="69" s="1"/>
  <c r="X45" i="57"/>
  <c r="AB45" i="57" s="1"/>
  <c r="AG47" i="57"/>
  <c r="M48" i="53"/>
  <c r="AC48" i="53" s="1"/>
  <c r="O48" i="53"/>
  <c r="AP32" i="69"/>
  <c r="N32" i="69"/>
  <c r="U32" i="69" s="1"/>
  <c r="AF44" i="57"/>
  <c r="AA44" i="57"/>
  <c r="AE46" i="57"/>
  <c r="AD46" i="57"/>
  <c r="AJ46" i="57"/>
  <c r="R46" i="57"/>
  <c r="Q46" i="57"/>
  <c r="T46" i="57" s="1"/>
  <c r="AC46" i="57"/>
  <c r="AQ46" i="57"/>
  <c r="M47" i="57"/>
  <c r="AK47" i="57" s="1"/>
  <c r="N48" i="53"/>
  <c r="AA46" i="53"/>
  <c r="AB46" i="53"/>
  <c r="AF31" i="69"/>
  <c r="Q31" i="69"/>
  <c r="O48" i="57"/>
  <c r="P48" i="57"/>
  <c r="AC29" i="69"/>
  <c r="AD29" i="69" s="1"/>
  <c r="AO32" i="69"/>
  <c r="O33" i="69"/>
  <c r="AF46" i="53"/>
  <c r="AE47" i="53"/>
  <c r="R47" i="53"/>
  <c r="X47" i="53" s="1"/>
  <c r="AY31" i="69"/>
  <c r="L48" i="57"/>
  <c r="AG47" i="53"/>
  <c r="AH47" i="53"/>
  <c r="AT47" i="53"/>
  <c r="N48" i="57"/>
  <c r="AH31" i="69"/>
  <c r="AD47" i="53"/>
  <c r="AK47" i="52" a="1"/>
  <c r="AK47" i="52" s="1"/>
  <c r="B49" i="53" s="1"/>
  <c r="F48" i="53"/>
  <c r="C48" i="53"/>
  <c r="P48" i="53"/>
  <c r="Q47" i="53"/>
  <c r="L48" i="53"/>
  <c r="J48" i="53"/>
  <c r="K48" i="53"/>
  <c r="H48" i="53"/>
  <c r="G48" i="53"/>
  <c r="I48" i="53"/>
  <c r="D48" i="53"/>
  <c r="E48" i="53"/>
  <c r="K48" i="57"/>
  <c r="G48" i="57"/>
  <c r="E48" i="57"/>
  <c r="D48" i="57"/>
  <c r="C48" i="57"/>
  <c r="I48" i="57"/>
  <c r="H48" i="57"/>
  <c r="F48" i="57"/>
  <c r="J48" i="57"/>
  <c r="AN47" i="55" a="1"/>
  <c r="AN47" i="55" s="1"/>
  <c r="B49" i="57" s="1"/>
  <c r="AR33" i="67" a="1"/>
  <c r="AR33" i="67" s="1"/>
  <c r="B34" i="69"/>
  <c r="L34" i="69" s="1"/>
  <c r="D32" i="69"/>
  <c r="E32" i="69" s="1"/>
  <c r="F32" i="69" s="1"/>
  <c r="G32" i="69" s="1"/>
  <c r="H32" i="69" s="1"/>
  <c r="I32" i="69" s="1"/>
  <c r="J32" i="69" s="1"/>
  <c r="K32" i="69" s="1"/>
  <c r="M32" i="69" s="1"/>
  <c r="AE31" i="69"/>
  <c r="R31" i="69"/>
  <c r="S31" i="69" s="1"/>
  <c r="Y31" i="69" s="1"/>
  <c r="C33" i="69"/>
  <c r="P33" i="69" s="1"/>
  <c r="AG30" i="69" l="1"/>
  <c r="X46" i="57"/>
  <c r="AB46" i="57" s="1"/>
  <c r="AG48" i="57"/>
  <c r="M49" i="53"/>
  <c r="AC49" i="53" s="1"/>
  <c r="O49" i="53"/>
  <c r="AP33" i="69"/>
  <c r="N33" i="69"/>
  <c r="U33" i="69" s="1"/>
  <c r="AF45" i="57"/>
  <c r="AA45" i="57"/>
  <c r="AJ47" i="57"/>
  <c r="R47" i="57"/>
  <c r="AC47" i="57"/>
  <c r="Q47" i="57"/>
  <c r="T47" i="57" s="1"/>
  <c r="AD47" i="57"/>
  <c r="AE47" i="57"/>
  <c r="AQ47" i="57"/>
  <c r="M48" i="57"/>
  <c r="AK48" i="57" s="1"/>
  <c r="N49" i="53"/>
  <c r="AA47" i="53"/>
  <c r="AB47" i="53"/>
  <c r="AF32" i="69"/>
  <c r="Q32" i="69"/>
  <c r="O49" i="57"/>
  <c r="P49" i="57"/>
  <c r="AB31" i="69"/>
  <c r="AG31" i="69"/>
  <c r="AO33" i="69"/>
  <c r="O34" i="69"/>
  <c r="AF47" i="53"/>
  <c r="AE48" i="53"/>
  <c r="R48" i="53"/>
  <c r="X48" i="53" s="1"/>
  <c r="AY32" i="69"/>
  <c r="L49" i="57"/>
  <c r="AG48" i="53"/>
  <c r="AH48" i="53"/>
  <c r="AT48" i="53"/>
  <c r="N49" i="57"/>
  <c r="AH32" i="69"/>
  <c r="AD48" i="53"/>
  <c r="Q48" i="53"/>
  <c r="F49" i="53"/>
  <c r="H49" i="53"/>
  <c r="I49" i="53"/>
  <c r="C49" i="53"/>
  <c r="D49" i="53"/>
  <c r="K49" i="53"/>
  <c r="P49" i="53"/>
  <c r="E49" i="53"/>
  <c r="AK48" i="52" a="1"/>
  <c r="AK48" i="52" s="1"/>
  <c r="B50" i="53" s="1"/>
  <c r="J49" i="53"/>
  <c r="L49" i="53"/>
  <c r="G49" i="53"/>
  <c r="E49" i="57"/>
  <c r="G49" i="57"/>
  <c r="F49" i="57"/>
  <c r="I49" i="57"/>
  <c r="H49" i="57"/>
  <c r="D49" i="57"/>
  <c r="C49" i="57"/>
  <c r="K49" i="57"/>
  <c r="J49" i="57"/>
  <c r="AN48" i="55" a="1"/>
  <c r="AN48" i="55" s="1"/>
  <c r="B50" i="57" s="1"/>
  <c r="AE32" i="69"/>
  <c r="R32" i="69"/>
  <c r="S32" i="69" s="1"/>
  <c r="Y32" i="69" s="1"/>
  <c r="D33" i="69"/>
  <c r="E33" i="69" s="1"/>
  <c r="F33" i="69" s="1"/>
  <c r="G33" i="69" s="1"/>
  <c r="H33" i="69" s="1"/>
  <c r="I33" i="69" s="1"/>
  <c r="J33" i="69" s="1"/>
  <c r="K33" i="69" s="1"/>
  <c r="M33" i="69" s="1"/>
  <c r="C34" i="69"/>
  <c r="P34" i="69" s="1"/>
  <c r="AR34" i="67" a="1"/>
  <c r="AR34" i="67" s="1"/>
  <c r="B35" i="69"/>
  <c r="L35" i="69" s="1"/>
  <c r="D3" i="71"/>
  <c r="X47" i="57" l="1"/>
  <c r="AB47" i="57" s="1"/>
  <c r="AG49" i="57"/>
  <c r="AF46" i="57"/>
  <c r="AA46" i="57"/>
  <c r="M50" i="53"/>
  <c r="AC50" i="53" s="1"/>
  <c r="O50" i="53"/>
  <c r="AP34" i="69"/>
  <c r="N34" i="69"/>
  <c r="U34" i="69" s="1"/>
  <c r="AD48" i="57"/>
  <c r="AQ48" i="57"/>
  <c r="AE48" i="57"/>
  <c r="Q48" i="57"/>
  <c r="T48" i="57" s="1"/>
  <c r="AC48" i="57"/>
  <c r="AJ48" i="57"/>
  <c r="R48" i="57"/>
  <c r="M49" i="57"/>
  <c r="AK49" i="57" s="1"/>
  <c r="N50" i="53"/>
  <c r="AA48" i="53"/>
  <c r="AB48" i="53"/>
  <c r="AF33" i="69"/>
  <c r="Q33" i="69"/>
  <c r="O50" i="57"/>
  <c r="P50" i="57"/>
  <c r="AC31" i="69"/>
  <c r="AD31" i="69" s="1"/>
  <c r="AB32" i="69"/>
  <c r="AG32" i="69"/>
  <c r="AO34" i="69"/>
  <c r="O35" i="69"/>
  <c r="AF48" i="53"/>
  <c r="AE49" i="53"/>
  <c r="R49" i="53"/>
  <c r="X49" i="53" s="1"/>
  <c r="AY33" i="69"/>
  <c r="L50" i="57"/>
  <c r="AH49" i="53"/>
  <c r="AT49" i="53"/>
  <c r="AG49" i="53"/>
  <c r="N50" i="57"/>
  <c r="H50" i="53"/>
  <c r="AH33" i="69"/>
  <c r="Q49" i="53"/>
  <c r="AD49" i="53"/>
  <c r="F50" i="53"/>
  <c r="K50" i="53"/>
  <c r="P50" i="53"/>
  <c r="L50" i="53"/>
  <c r="C50" i="53"/>
  <c r="E50" i="53"/>
  <c r="J50" i="53"/>
  <c r="AK49" i="52" a="1"/>
  <c r="AK49" i="52" s="1"/>
  <c r="B51" i="53" s="1"/>
  <c r="G50" i="53"/>
  <c r="I50" i="53"/>
  <c r="D50" i="53"/>
  <c r="H50" i="57"/>
  <c r="G50" i="57"/>
  <c r="E50" i="57"/>
  <c r="D50" i="57"/>
  <c r="C50" i="57"/>
  <c r="K50" i="57"/>
  <c r="I50" i="57"/>
  <c r="F50" i="57"/>
  <c r="J50" i="57"/>
  <c r="AN49" i="55" a="1"/>
  <c r="AN49" i="55" s="1"/>
  <c r="B51" i="57" s="1"/>
  <c r="AR35" i="67" a="1"/>
  <c r="AR35" i="67" s="1"/>
  <c r="B36" i="69"/>
  <c r="L36" i="69" s="1"/>
  <c r="D34" i="69"/>
  <c r="E34" i="69" s="1"/>
  <c r="F34" i="69" s="1"/>
  <c r="G34" i="69" s="1"/>
  <c r="H34" i="69" s="1"/>
  <c r="I34" i="69" s="1"/>
  <c r="J34" i="69" s="1"/>
  <c r="K34" i="69" s="1"/>
  <c r="M34" i="69" s="1"/>
  <c r="C35" i="69"/>
  <c r="P35" i="69" s="1"/>
  <c r="AE33" i="69"/>
  <c r="R33" i="69"/>
  <c r="S33" i="69" s="1"/>
  <c r="X48" i="57" l="1"/>
  <c r="AB48" i="57" s="1"/>
  <c r="Y33" i="69"/>
  <c r="AB33" i="69" s="1"/>
  <c r="AC33" i="69" s="1"/>
  <c r="AD33" i="69" s="1"/>
  <c r="AG50" i="57"/>
  <c r="M51" i="53"/>
  <c r="AC51" i="53" s="1"/>
  <c r="O51" i="53"/>
  <c r="AP35" i="69"/>
  <c r="N35" i="69"/>
  <c r="U35" i="69" s="1"/>
  <c r="AF47" i="57"/>
  <c r="AA47" i="57"/>
  <c r="AC49" i="57"/>
  <c r="AE49" i="57"/>
  <c r="AQ49" i="57"/>
  <c r="Q49" i="57"/>
  <c r="T49" i="57" s="1"/>
  <c r="AD49" i="57"/>
  <c r="AJ49" i="57"/>
  <c r="R49" i="57"/>
  <c r="M50" i="57"/>
  <c r="AK50" i="57" s="1"/>
  <c r="N51" i="53"/>
  <c r="AA49" i="53"/>
  <c r="AB49" i="53"/>
  <c r="AF34" i="69"/>
  <c r="Q34" i="69"/>
  <c r="O51" i="57"/>
  <c r="P51" i="57"/>
  <c r="AC32" i="69"/>
  <c r="AD32" i="69" s="1"/>
  <c r="AO35" i="69"/>
  <c r="O36" i="69"/>
  <c r="AE50" i="53"/>
  <c r="AF49" i="53"/>
  <c r="R50" i="53"/>
  <c r="X50" i="53" s="1"/>
  <c r="AY34" i="69"/>
  <c r="L51" i="57"/>
  <c r="AH50" i="53"/>
  <c r="AT50" i="53"/>
  <c r="AG50" i="53"/>
  <c r="N51" i="57"/>
  <c r="AH34" i="69"/>
  <c r="Q50" i="53"/>
  <c r="AD50" i="53"/>
  <c r="AK50" i="52" a="1"/>
  <c r="AK50" i="52" s="1"/>
  <c r="B52" i="53" s="1"/>
  <c r="P51" i="53"/>
  <c r="I51" i="53"/>
  <c r="F51" i="53"/>
  <c r="E51" i="53"/>
  <c r="H51" i="53"/>
  <c r="L51" i="53"/>
  <c r="C51" i="53"/>
  <c r="K51" i="53"/>
  <c r="J51" i="53"/>
  <c r="D51" i="53"/>
  <c r="G51" i="53"/>
  <c r="K51" i="57"/>
  <c r="I51" i="57"/>
  <c r="G51" i="57"/>
  <c r="E51" i="57"/>
  <c r="C51" i="57"/>
  <c r="J51" i="57"/>
  <c r="D51" i="57"/>
  <c r="H51" i="57"/>
  <c r="F51" i="57"/>
  <c r="AN50" i="55" a="1"/>
  <c r="AN50" i="55" s="1"/>
  <c r="B52" i="57" s="1"/>
  <c r="AR36" i="67" a="1"/>
  <c r="AR36" i="67" s="1"/>
  <c r="B37" i="69"/>
  <c r="L37" i="69" s="1"/>
  <c r="R34" i="69"/>
  <c r="S34" i="69" s="1"/>
  <c r="Y34" i="69" s="1"/>
  <c r="AE34" i="69"/>
  <c r="D35" i="69"/>
  <c r="E35" i="69" s="1"/>
  <c r="F35" i="69" s="1"/>
  <c r="G35" i="69" s="1"/>
  <c r="H35" i="69" s="1"/>
  <c r="I35" i="69" s="1"/>
  <c r="J35" i="69" s="1"/>
  <c r="K35" i="69" s="1"/>
  <c r="M35" i="69" s="1"/>
  <c r="C36" i="69"/>
  <c r="P36" i="69" s="1"/>
  <c r="R9" i="78"/>
  <c r="AG33" i="69" l="1"/>
  <c r="AB34" i="69"/>
  <c r="AC34" i="69" s="1"/>
  <c r="AD34" i="69" s="1"/>
  <c r="AG51" i="57"/>
  <c r="X49" i="57"/>
  <c r="AB49" i="57" s="1"/>
  <c r="M52" i="53"/>
  <c r="AC52" i="53" s="1"/>
  <c r="O52" i="53"/>
  <c r="AP36" i="69"/>
  <c r="N36" i="69"/>
  <c r="U36" i="69" s="1"/>
  <c r="AF48" i="57"/>
  <c r="AA48" i="57"/>
  <c r="AE50" i="57"/>
  <c r="AQ50" i="57"/>
  <c r="AJ50" i="57"/>
  <c r="R50" i="57"/>
  <c r="Q50" i="57"/>
  <c r="T50" i="57" s="1"/>
  <c r="AD50" i="57"/>
  <c r="AC50" i="57"/>
  <c r="M51" i="57"/>
  <c r="AK51" i="57" s="1"/>
  <c r="N52" i="53"/>
  <c r="AA50" i="53"/>
  <c r="AB50" i="53"/>
  <c r="AF35" i="69"/>
  <c r="Q35" i="69"/>
  <c r="O52" i="57"/>
  <c r="P52" i="57"/>
  <c r="O37" i="69"/>
  <c r="AO36" i="69"/>
  <c r="AG34" i="69"/>
  <c r="AF50" i="53"/>
  <c r="AE51" i="53"/>
  <c r="R51" i="53"/>
  <c r="X51" i="53" s="1"/>
  <c r="AY35" i="69"/>
  <c r="L52" i="57"/>
  <c r="AG51" i="53"/>
  <c r="AH51" i="53"/>
  <c r="AT51" i="53"/>
  <c r="N52" i="57"/>
  <c r="AH35" i="69"/>
  <c r="AD51" i="53"/>
  <c r="Q51" i="53"/>
  <c r="I52" i="53"/>
  <c r="K52" i="53"/>
  <c r="H52" i="53"/>
  <c r="L52" i="53"/>
  <c r="E52" i="53"/>
  <c r="C52" i="53"/>
  <c r="D52" i="53"/>
  <c r="P52" i="53"/>
  <c r="AK51" i="52" a="1"/>
  <c r="AK51" i="52" s="1"/>
  <c r="B53" i="53" s="1"/>
  <c r="J52" i="53"/>
  <c r="G52" i="53"/>
  <c r="F52" i="53"/>
  <c r="H52" i="57"/>
  <c r="G52" i="57"/>
  <c r="E52" i="57"/>
  <c r="D52" i="57"/>
  <c r="C52" i="57"/>
  <c r="K52" i="57"/>
  <c r="I52" i="57"/>
  <c r="J52" i="57"/>
  <c r="F52" i="57"/>
  <c r="AN51" i="55" a="1"/>
  <c r="AN51" i="55" s="1"/>
  <c r="B53" i="57" s="1"/>
  <c r="AE35" i="69"/>
  <c r="R35" i="69"/>
  <c r="S35" i="69" s="1"/>
  <c r="Y35" i="69" s="1"/>
  <c r="D36" i="69"/>
  <c r="E36" i="69" s="1"/>
  <c r="F36" i="69" s="1"/>
  <c r="G36" i="69" s="1"/>
  <c r="H36" i="69" s="1"/>
  <c r="I36" i="69" s="1"/>
  <c r="J36" i="69" s="1"/>
  <c r="K36" i="69" s="1"/>
  <c r="M36" i="69" s="1"/>
  <c r="C37" i="69"/>
  <c r="P37" i="69" s="1"/>
  <c r="AR37" i="67" a="1"/>
  <c r="AR37" i="67" s="1"/>
  <c r="B38" i="69"/>
  <c r="L38" i="69" s="1"/>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0" i="57" l="1"/>
  <c r="AF50" i="57" s="1"/>
  <c r="AG52" i="57"/>
  <c r="M53" i="53"/>
  <c r="AC53" i="53" s="1"/>
  <c r="O53" i="53"/>
  <c r="AP37" i="69"/>
  <c r="N37" i="69"/>
  <c r="U37" i="69" s="1"/>
  <c r="AA49" i="57"/>
  <c r="AF49" i="57"/>
  <c r="Q51" i="57"/>
  <c r="T51" i="57" s="1"/>
  <c r="AD51" i="57"/>
  <c r="AC51" i="57"/>
  <c r="AE51" i="57"/>
  <c r="AQ51" i="57"/>
  <c r="AJ51" i="57"/>
  <c r="R51" i="57"/>
  <c r="M52" i="57"/>
  <c r="AK52" i="57" s="1"/>
  <c r="N53" i="53"/>
  <c r="AA51" i="53"/>
  <c r="AB51" i="53"/>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L29"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K242" i="46"/>
  <c r="K162" i="46"/>
  <c r="K106" i="46"/>
  <c r="L250" i="59"/>
  <c r="AY250" i="59" s="1"/>
  <c r="L230" i="59"/>
  <c r="AY230" i="59" s="1"/>
  <c r="L222" i="59"/>
  <c r="AY222" i="59" s="1"/>
  <c r="L202" i="59"/>
  <c r="AY202" i="59" s="1"/>
  <c r="L194" i="59"/>
  <c r="AY194" i="59" s="1"/>
  <c r="L186" i="59"/>
  <c r="AY186" i="59" s="1"/>
  <c r="L146" i="59"/>
  <c r="AY146" i="59" s="1"/>
  <c r="L118" i="59"/>
  <c r="AY118" i="59" s="1"/>
  <c r="L110" i="59"/>
  <c r="AY110" i="59" s="1"/>
  <c r="L102" i="59"/>
  <c r="AY102" i="59" s="1"/>
  <c r="L94" i="59"/>
  <c r="AY94" i="59" s="1"/>
  <c r="L86" i="59"/>
  <c r="AY86" i="59" s="1"/>
  <c r="L78" i="59"/>
  <c r="AY78" i="59" s="1"/>
  <c r="L70" i="59"/>
  <c r="AY70" i="59" s="1"/>
  <c r="L58" i="59"/>
  <c r="AY58" i="59" s="1"/>
  <c r="L46" i="59"/>
  <c r="AY46" i="59" s="1"/>
  <c r="L38" i="59"/>
  <c r="AY38" i="59" s="1"/>
  <c r="K36" i="46"/>
  <c r="K228" i="71"/>
  <c r="K196" i="71"/>
  <c r="K148" i="71"/>
  <c r="K96" i="71"/>
  <c r="K36" i="71"/>
  <c r="K14" i="46"/>
  <c r="L235" i="11"/>
  <c r="L203" i="11"/>
  <c r="L179" i="11"/>
  <c r="L233" i="11"/>
  <c r="L169" i="11"/>
  <c r="L33" i="11"/>
  <c r="L248" i="11"/>
  <c r="L240" i="11"/>
  <c r="L232" i="11"/>
  <c r="L224" i="11"/>
  <c r="L254" i="59"/>
  <c r="AY254" i="59" s="1"/>
  <c r="L242" i="59"/>
  <c r="AY242" i="59" s="1"/>
  <c r="L234" i="59"/>
  <c r="AY234" i="59" s="1"/>
  <c r="L214" i="59"/>
  <c r="AY214" i="59" s="1"/>
  <c r="L178" i="59"/>
  <c r="AY178" i="59" s="1"/>
  <c r="L170" i="59"/>
  <c r="AY170" i="59" s="1"/>
  <c r="L166" i="59"/>
  <c r="AY166" i="59" s="1"/>
  <c r="L158" i="59"/>
  <c r="AY158" i="59" s="1"/>
  <c r="L138" i="59"/>
  <c r="AY138" i="59" s="1"/>
  <c r="L130" i="59"/>
  <c r="AY130" i="59" s="1"/>
  <c r="L122" i="59"/>
  <c r="AY122" i="59" s="1"/>
  <c r="K252" i="71"/>
  <c r="K220" i="71"/>
  <c r="K184" i="71"/>
  <c r="K132" i="71"/>
  <c r="K84" i="71"/>
  <c r="K20" i="71"/>
  <c r="L249" i="11"/>
  <c r="L185" i="11"/>
  <c r="L125" i="11"/>
  <c r="L109" i="11"/>
  <c r="L93" i="11"/>
  <c r="L77" i="11"/>
  <c r="L61" i="11"/>
  <c r="L45" i="11"/>
  <c r="L21" i="11"/>
  <c r="K255" i="46"/>
  <c r="L12" i="11"/>
  <c r="L252"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K178" i="46"/>
  <c r="K146" i="46"/>
  <c r="K98" i="46"/>
  <c r="L226" i="59"/>
  <c r="AY226" i="59" s="1"/>
  <c r="L218" i="59"/>
  <c r="AY218" i="59" s="1"/>
  <c r="L206" i="59"/>
  <c r="AY206" i="59" s="1"/>
  <c r="L198" i="59"/>
  <c r="AY198" i="59" s="1"/>
  <c r="L190" i="59"/>
  <c r="AY190" i="59" s="1"/>
  <c r="L150" i="59"/>
  <c r="AY150" i="59" s="1"/>
  <c r="L114" i="59"/>
  <c r="AY114" i="59" s="1"/>
  <c r="L106" i="59"/>
  <c r="AY106" i="59" s="1"/>
  <c r="L98" i="59"/>
  <c r="AY98" i="59" s="1"/>
  <c r="L90" i="59"/>
  <c r="AY90" i="59" s="1"/>
  <c r="L82" i="59"/>
  <c r="AY82" i="59" s="1"/>
  <c r="L74" i="59"/>
  <c r="AY74" i="59" s="1"/>
  <c r="L66" i="59"/>
  <c r="AY66" i="59" s="1"/>
  <c r="L42" i="59"/>
  <c r="AY42" i="59" s="1"/>
  <c r="L34" i="59"/>
  <c r="AY34" i="59" s="1"/>
  <c r="L177" i="59"/>
  <c r="AY177" i="59" s="1"/>
  <c r="L169" i="59"/>
  <c r="AY169" i="59" s="1"/>
  <c r="L125" i="59"/>
  <c r="AY125" i="59" s="1"/>
  <c r="L101" i="59"/>
  <c r="AY101" i="59" s="1"/>
  <c r="K244" i="71"/>
  <c r="K212" i="71"/>
  <c r="K172" i="71"/>
  <c r="K120" i="71"/>
  <c r="K68" i="71"/>
  <c r="K30" i="46"/>
  <c r="L255" i="11"/>
  <c r="L223" i="11"/>
  <c r="L191" i="11"/>
  <c r="L159" i="11"/>
  <c r="L201" i="11"/>
  <c r="L141" i="11"/>
  <c r="L117" i="11"/>
  <c r="L101" i="11"/>
  <c r="L85" i="11"/>
  <c r="L69" i="11"/>
  <c r="L17" i="11"/>
  <c r="L244" i="11"/>
  <c r="L236" i="11"/>
  <c r="L228" i="11"/>
  <c r="L220" i="11"/>
  <c r="L258" i="59"/>
  <c r="AY258" i="59" s="1"/>
  <c r="L246" i="59"/>
  <c r="AY246" i="59" s="1"/>
  <c r="L238" i="59"/>
  <c r="AY238" i="59" s="1"/>
  <c r="L210" i="59"/>
  <c r="AY210" i="59" s="1"/>
  <c r="L182" i="59"/>
  <c r="AY182" i="59" s="1"/>
  <c r="L174" i="59"/>
  <c r="AY174" i="59" s="1"/>
  <c r="L162" i="59"/>
  <c r="AY162" i="59" s="1"/>
  <c r="L154" i="59"/>
  <c r="AY154" i="59" s="1"/>
  <c r="L142" i="59"/>
  <c r="AY142" i="59" s="1"/>
  <c r="L134" i="59"/>
  <c r="AY134" i="59" s="1"/>
  <c r="L126" i="59"/>
  <c r="AY126" i="59" s="1"/>
  <c r="L54" i="59"/>
  <c r="AY54" i="59" s="1"/>
  <c r="L26" i="59"/>
  <c r="AY26" i="59" s="1"/>
  <c r="L18" i="59"/>
  <c r="AY18" i="59" s="1"/>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L147" i="11"/>
  <c r="L131" i="11"/>
  <c r="L115" i="11"/>
  <c r="L99" i="11"/>
  <c r="L83" i="11"/>
  <c r="L67" i="11"/>
  <c r="L51" i="11"/>
  <c r="L35" i="11"/>
  <c r="L23" i="11"/>
  <c r="L15" i="11"/>
  <c r="K181" i="46"/>
  <c r="L257" i="59"/>
  <c r="AY257" i="59" s="1"/>
  <c r="L249" i="59"/>
  <c r="AY249" i="59" s="1"/>
  <c r="L241" i="59"/>
  <c r="AY241" i="59" s="1"/>
  <c r="L233" i="59"/>
  <c r="AY233" i="59" s="1"/>
  <c r="L225" i="59"/>
  <c r="AY225" i="59" s="1"/>
  <c r="L217" i="59"/>
  <c r="AY217" i="59" s="1"/>
  <c r="L209" i="59"/>
  <c r="AY209" i="59" s="1"/>
  <c r="L201" i="59"/>
  <c r="AY201" i="59" s="1"/>
  <c r="L193" i="59"/>
  <c r="AY193" i="59" s="1"/>
  <c r="K242" i="71"/>
  <c r="K186" i="71"/>
  <c r="K154" i="71"/>
  <c r="K122" i="71"/>
  <c r="K90" i="71"/>
  <c r="K58" i="71"/>
  <c r="K26" i="71"/>
  <c r="L183" i="11"/>
  <c r="L107" i="11"/>
  <c r="L43" i="11"/>
  <c r="K117" i="46"/>
  <c r="L229" i="59"/>
  <c r="AY229" i="59" s="1"/>
  <c r="L197" i="59"/>
  <c r="AY197" i="59" s="1"/>
  <c r="L165" i="59"/>
  <c r="AY165" i="59" s="1"/>
  <c r="L157" i="59"/>
  <c r="AY157" i="59" s="1"/>
  <c r="L129" i="59"/>
  <c r="AY129" i="59" s="1"/>
  <c r="L121" i="59"/>
  <c r="AY121" i="59" s="1"/>
  <c r="L109" i="59"/>
  <c r="AY109" i="59" s="1"/>
  <c r="L65" i="59"/>
  <c r="AY65" i="59" s="1"/>
  <c r="L41" i="59"/>
  <c r="AY41" i="59" s="1"/>
  <c r="L33" i="59"/>
  <c r="AY33" i="59" s="1"/>
  <c r="L25" i="59"/>
  <c r="AY25" i="59" s="1"/>
  <c r="L17" i="59"/>
  <c r="AY17" i="59" s="1"/>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L71" i="11"/>
  <c r="L55" i="11"/>
  <c r="L39" i="11"/>
  <c r="L258" i="11"/>
  <c r="L222" i="11"/>
  <c r="L206" i="11"/>
  <c r="L182" i="11"/>
  <c r="L166" i="11"/>
  <c r="L150" i="11"/>
  <c r="L138" i="11"/>
  <c r="L62" i="59"/>
  <c r="AY62" i="59" s="1"/>
  <c r="L14" i="59"/>
  <c r="AY14" i="59" s="1"/>
  <c r="K194" i="71"/>
  <c r="K162" i="71"/>
  <c r="K130" i="71"/>
  <c r="K98" i="71"/>
  <c r="K66" i="71"/>
  <c r="K34" i="71"/>
  <c r="L211" i="11"/>
  <c r="L123" i="11"/>
  <c r="L59" i="11"/>
  <c r="K245" i="46"/>
  <c r="L237" i="59"/>
  <c r="AY237" i="59" s="1"/>
  <c r="L205" i="59"/>
  <c r="AY205" i="59" s="1"/>
  <c r="L181" i="59"/>
  <c r="AY181" i="59" s="1"/>
  <c r="L173" i="59"/>
  <c r="AY173" i="59" s="1"/>
  <c r="L149" i="59"/>
  <c r="AY149" i="59" s="1"/>
  <c r="L141" i="59"/>
  <c r="AY141" i="59" s="1"/>
  <c r="L133" i="59"/>
  <c r="AY133" i="59" s="1"/>
  <c r="L85" i="59"/>
  <c r="AY85" i="59" s="1"/>
  <c r="L77" i="59"/>
  <c r="AY77" i="59" s="1"/>
  <c r="L69" i="59"/>
  <c r="AY69" i="59" s="1"/>
  <c r="L53" i="59"/>
  <c r="AY53" i="59" s="1"/>
  <c r="L250" i="11"/>
  <c r="L242" i="11"/>
  <c r="L234" i="11"/>
  <c r="L190" i="11"/>
  <c r="L174" i="11"/>
  <c r="L158" i="11"/>
  <c r="L142" i="11"/>
  <c r="L134" i="11"/>
  <c r="L130" i="11"/>
  <c r="L122" i="11"/>
  <c r="L114" i="11"/>
  <c r="L106" i="11"/>
  <c r="L98" i="11"/>
  <c r="L22" i="59"/>
  <c r="AY22" i="59" s="1"/>
  <c r="K210" i="71"/>
  <c r="K170" i="71"/>
  <c r="K138" i="71"/>
  <c r="K106" i="71"/>
  <c r="K74" i="71"/>
  <c r="K42" i="71"/>
  <c r="L243" i="11"/>
  <c r="L139" i="11"/>
  <c r="L75" i="11"/>
  <c r="L19" i="11"/>
  <c r="L245" i="59"/>
  <c r="AY245" i="59" s="1"/>
  <c r="L213" i="59"/>
  <c r="AY213" i="59" s="1"/>
  <c r="L185" i="59"/>
  <c r="AY185" i="59" s="1"/>
  <c r="L113" i="59"/>
  <c r="AY113" i="59" s="1"/>
  <c r="L105" i="59"/>
  <c r="AY105" i="59" s="1"/>
  <c r="L97" i="59"/>
  <c r="AY97" i="59" s="1"/>
  <c r="L89" i="59"/>
  <c r="AY89" i="59" s="1"/>
  <c r="L61" i="59"/>
  <c r="AY61" i="59" s="1"/>
  <c r="L57" i="59"/>
  <c r="AY57" i="59" s="1"/>
  <c r="L45" i="59"/>
  <c r="AY45" i="59" s="1"/>
  <c r="L37" i="59"/>
  <c r="AY37" i="59" s="1"/>
  <c r="L29" i="59"/>
  <c r="AY29" i="59" s="1"/>
  <c r="L21" i="59"/>
  <c r="AY21" i="59" s="1"/>
  <c r="L13" i="59"/>
  <c r="AY13" i="59" s="1"/>
  <c r="K233" i="71"/>
  <c r="K217" i="71"/>
  <c r="K201" i="71"/>
  <c r="K189" i="71"/>
  <c r="K177" i="71"/>
  <c r="K165" i="71"/>
  <c r="K149" i="71"/>
  <c r="K137" i="71"/>
  <c r="K125" i="71"/>
  <c r="K113" i="71"/>
  <c r="K101" i="71"/>
  <c r="K81" i="71"/>
  <c r="K73" i="71"/>
  <c r="K57" i="71"/>
  <c r="K45" i="71"/>
  <c r="K33" i="71"/>
  <c r="K17" i="71"/>
  <c r="L251" i="11"/>
  <c r="L219" i="11"/>
  <c r="L187" i="11"/>
  <c r="L163" i="11"/>
  <c r="L143" i="11"/>
  <c r="L127" i="11"/>
  <c r="L111" i="11"/>
  <c r="L95" i="11"/>
  <c r="L79" i="11"/>
  <c r="L63" i="11"/>
  <c r="L47" i="11"/>
  <c r="L27" i="11"/>
  <c r="L246" i="11"/>
  <c r="L230" i="11"/>
  <c r="L226" i="11"/>
  <c r="L218" i="11"/>
  <c r="L210" i="11"/>
  <c r="L202" i="11"/>
  <c r="L118" i="11"/>
  <c r="L102" i="11"/>
  <c r="L86" i="11"/>
  <c r="L74" i="11"/>
  <c r="L58" i="11"/>
  <c r="L50" i="11"/>
  <c r="L42" i="11"/>
  <c r="L34" i="11"/>
  <c r="K252" i="46"/>
  <c r="K244" i="46"/>
  <c r="K236" i="46"/>
  <c r="K228" i="46"/>
  <c r="K220" i="46"/>
  <c r="K212" i="46"/>
  <c r="K200" i="46"/>
  <c r="K192" i="46"/>
  <c r="K180" i="46"/>
  <c r="K172" i="46"/>
  <c r="K156" i="46"/>
  <c r="K144" i="46"/>
  <c r="K108" i="46"/>
  <c r="K80" i="46"/>
  <c r="K44" i="46"/>
  <c r="L220" i="59"/>
  <c r="AY220" i="59" s="1"/>
  <c r="L208" i="59"/>
  <c r="AY208" i="59" s="1"/>
  <c r="L50" i="59"/>
  <c r="AY50" i="59" s="1"/>
  <c r="L30" i="59"/>
  <c r="AY30" i="59" s="1"/>
  <c r="K226" i="71"/>
  <c r="K178" i="71"/>
  <c r="K146" i="71"/>
  <c r="K114" i="71"/>
  <c r="K82" i="71"/>
  <c r="K50" i="71"/>
  <c r="K18" i="71"/>
  <c r="L155" i="11"/>
  <c r="L91" i="11"/>
  <c r="L31" i="11"/>
  <c r="L253" i="59"/>
  <c r="AY253" i="59" s="1"/>
  <c r="L221" i="59"/>
  <c r="AY221" i="59" s="1"/>
  <c r="L189" i="59"/>
  <c r="AY189" i="59" s="1"/>
  <c r="L161" i="59"/>
  <c r="AY161" i="59" s="1"/>
  <c r="L153" i="59"/>
  <c r="AY153" i="59" s="1"/>
  <c r="L145" i="59"/>
  <c r="AY145" i="59" s="1"/>
  <c r="L137" i="59"/>
  <c r="AY137" i="59" s="1"/>
  <c r="L117" i="59"/>
  <c r="AY117" i="59" s="1"/>
  <c r="L93" i="59"/>
  <c r="AY93" i="59" s="1"/>
  <c r="L81" i="59"/>
  <c r="AY81" i="59" s="1"/>
  <c r="L73" i="59"/>
  <c r="AY73" i="59" s="1"/>
  <c r="L49" i="59"/>
  <c r="AY49" i="59" s="1"/>
  <c r="L254" i="11"/>
  <c r="L238" i="11"/>
  <c r="L214" i="11"/>
  <c r="L198" i="11"/>
  <c r="L194" i="11"/>
  <c r="L186" i="11"/>
  <c r="L178" i="11"/>
  <c r="L170" i="11"/>
  <c r="L162" i="11"/>
  <c r="L154" i="11"/>
  <c r="L146" i="11"/>
  <c r="L126" i="11"/>
  <c r="L110" i="11"/>
  <c r="L94" i="11"/>
  <c r="L78" i="11"/>
  <c r="L70" i="11"/>
  <c r="L66" i="11"/>
  <c r="L26" i="11"/>
  <c r="L18" i="11"/>
  <c r="L256" i="59"/>
  <c r="AY256" i="59" s="1"/>
  <c r="L248" i="59"/>
  <c r="AY248" i="59" s="1"/>
  <c r="L240" i="59"/>
  <c r="AY240" i="59" s="1"/>
  <c r="L232" i="59"/>
  <c r="AY232" i="59" s="1"/>
  <c r="L212" i="59"/>
  <c r="AY212" i="59" s="1"/>
  <c r="L168" i="59"/>
  <c r="AY168" i="59" s="1"/>
  <c r="L156" i="59"/>
  <c r="AY156" i="59" s="1"/>
  <c r="L128" i="59"/>
  <c r="AY128" i="59" s="1"/>
  <c r="L30" i="11"/>
  <c r="L22" i="11"/>
  <c r="K240" i="46"/>
  <c r="K208" i="46"/>
  <c r="K160" i="46"/>
  <c r="K64" i="46"/>
  <c r="L228" i="59"/>
  <c r="AY228" i="59" s="1"/>
  <c r="L204" i="59"/>
  <c r="AY204" i="59" s="1"/>
  <c r="L196" i="59"/>
  <c r="AY196" i="59" s="1"/>
  <c r="L188" i="59"/>
  <c r="AY188" i="59" s="1"/>
  <c r="L180" i="59"/>
  <c r="AY180" i="59" s="1"/>
  <c r="L172" i="59"/>
  <c r="AY172" i="59" s="1"/>
  <c r="L144" i="59"/>
  <c r="AY144" i="59" s="1"/>
  <c r="L136" i="59"/>
  <c r="AY136" i="59" s="1"/>
  <c r="L88" i="59"/>
  <c r="AY88" i="59" s="1"/>
  <c r="L72" i="59"/>
  <c r="AY72" i="59" s="1"/>
  <c r="L60" i="59"/>
  <c r="AY60" i="59" s="1"/>
  <c r="L52" i="59"/>
  <c r="AY52" i="59" s="1"/>
  <c r="L28" i="59"/>
  <c r="AY28" i="59" s="1"/>
  <c r="L20" i="59"/>
  <c r="AY20" i="59" s="1"/>
  <c r="L12" i="59"/>
  <c r="AY12" i="59" s="1"/>
  <c r="L163" i="59"/>
  <c r="AY163" i="59" s="1"/>
  <c r="L159" i="59"/>
  <c r="AY159" i="59" s="1"/>
  <c r="L151" i="59"/>
  <c r="AY151" i="59" s="1"/>
  <c r="L143" i="59"/>
  <c r="AY143" i="59" s="1"/>
  <c r="L135" i="59"/>
  <c r="AY135" i="59" s="1"/>
  <c r="L127" i="59"/>
  <c r="AY127" i="59" s="1"/>
  <c r="L119" i="59"/>
  <c r="AY119" i="59" s="1"/>
  <c r="L111" i="59"/>
  <c r="AY111" i="59" s="1"/>
  <c r="L95" i="59"/>
  <c r="AY95" i="59" s="1"/>
  <c r="L87" i="59"/>
  <c r="AY87" i="59" s="1"/>
  <c r="L71" i="59"/>
  <c r="AY71" i="59" s="1"/>
  <c r="L55" i="59"/>
  <c r="AY55" i="59" s="1"/>
  <c r="L39" i="59"/>
  <c r="AY39" i="59" s="1"/>
  <c r="L15" i="59"/>
  <c r="AY15" i="59" s="1"/>
  <c r="K183" i="71"/>
  <c r="K135" i="71"/>
  <c r="K103" i="71"/>
  <c r="K87" i="71"/>
  <c r="K55" i="71"/>
  <c r="L82" i="11"/>
  <c r="L62" i="11"/>
  <c r="L38" i="11"/>
  <c r="K248" i="46"/>
  <c r="K216" i="46"/>
  <c r="K176" i="46"/>
  <c r="K104" i="46"/>
  <c r="L236" i="59"/>
  <c r="AY236" i="59" s="1"/>
  <c r="L164" i="59"/>
  <c r="AY164" i="59" s="1"/>
  <c r="L120" i="59"/>
  <c r="AY120" i="59" s="1"/>
  <c r="L112" i="59"/>
  <c r="AY112" i="59" s="1"/>
  <c r="L104" i="59"/>
  <c r="AY104" i="59" s="1"/>
  <c r="L92" i="59"/>
  <c r="AY92" i="59" s="1"/>
  <c r="L80" i="59"/>
  <c r="AY80" i="59" s="1"/>
  <c r="L40" i="59"/>
  <c r="AY40" i="59" s="1"/>
  <c r="K176" i="71"/>
  <c r="K152" i="71"/>
  <c r="K136" i="71"/>
  <c r="K112" i="71"/>
  <c r="K88" i="71"/>
  <c r="K72" i="71"/>
  <c r="K56" i="71"/>
  <c r="K40" i="71"/>
  <c r="K24" i="71"/>
  <c r="L247" i="11"/>
  <c r="L215" i="11"/>
  <c r="L171" i="11"/>
  <c r="L253" i="11"/>
  <c r="L237" i="11"/>
  <c r="L221" i="11"/>
  <c r="L205" i="11"/>
  <c r="L189" i="11"/>
  <c r="L173" i="11"/>
  <c r="L157" i="11"/>
  <c r="L137" i="11"/>
  <c r="L121" i="11"/>
  <c r="L105" i="11"/>
  <c r="L89" i="11"/>
  <c r="L73" i="11"/>
  <c r="L57" i="11"/>
  <c r="L41" i="11"/>
  <c r="K215" i="46"/>
  <c r="K191" i="46"/>
  <c r="K175" i="46"/>
  <c r="K159" i="46"/>
  <c r="K135" i="46"/>
  <c r="K103" i="46"/>
  <c r="K79" i="46"/>
  <c r="K63" i="46"/>
  <c r="L251" i="59"/>
  <c r="AY251" i="59" s="1"/>
  <c r="L243" i="59"/>
  <c r="AY243" i="59" s="1"/>
  <c r="L235" i="59"/>
  <c r="AY235" i="59" s="1"/>
  <c r="L227" i="59"/>
  <c r="AY227" i="59" s="1"/>
  <c r="L219" i="59"/>
  <c r="AY219" i="59" s="1"/>
  <c r="L211" i="59"/>
  <c r="AY211" i="59" s="1"/>
  <c r="L203" i="59"/>
  <c r="AY203" i="59" s="1"/>
  <c r="L195" i="59"/>
  <c r="AY195" i="59" s="1"/>
  <c r="L187" i="59"/>
  <c r="AY187" i="59" s="1"/>
  <c r="L179" i="59"/>
  <c r="AY179" i="59" s="1"/>
  <c r="L171" i="59"/>
  <c r="AY171" i="59" s="1"/>
  <c r="L155" i="59"/>
  <c r="AY155" i="59" s="1"/>
  <c r="L147" i="59"/>
  <c r="AY147" i="59" s="1"/>
  <c r="L115" i="59"/>
  <c r="AY115" i="59" s="1"/>
  <c r="L51" i="59"/>
  <c r="AY51" i="59" s="1"/>
  <c r="L19" i="59"/>
  <c r="AY19" i="59" s="1"/>
  <c r="K34" i="46"/>
  <c r="K127" i="71"/>
  <c r="K95" i="71"/>
  <c r="K63" i="71"/>
  <c r="K31" i="71"/>
  <c r="K15" i="71"/>
  <c r="L90" i="11"/>
  <c r="L46" i="11"/>
  <c r="K256" i="46"/>
  <c r="K224" i="46"/>
  <c r="K188" i="46"/>
  <c r="K128" i="46"/>
  <c r="L244" i="59"/>
  <c r="AY244" i="59" s="1"/>
  <c r="L200" i="59"/>
  <c r="AY200" i="59" s="1"/>
  <c r="L192" i="59"/>
  <c r="AY192" i="59" s="1"/>
  <c r="L184" i="59"/>
  <c r="AY184" i="59" s="1"/>
  <c r="L176" i="59"/>
  <c r="AY176" i="59" s="1"/>
  <c r="L148" i="59"/>
  <c r="AY148" i="59" s="1"/>
  <c r="L132" i="59"/>
  <c r="AY132" i="59" s="1"/>
  <c r="L124" i="59"/>
  <c r="AY124" i="59" s="1"/>
  <c r="L108" i="59"/>
  <c r="AY108" i="59" s="1"/>
  <c r="L84" i="59"/>
  <c r="AY84" i="59" s="1"/>
  <c r="L76" i="59"/>
  <c r="AY76" i="59" s="1"/>
  <c r="L64" i="59"/>
  <c r="AY64" i="59" s="1"/>
  <c r="L56" i="59"/>
  <c r="AY56" i="59" s="1"/>
  <c r="L48" i="59"/>
  <c r="AY48" i="59" s="1"/>
  <c r="L32" i="59"/>
  <c r="AY32" i="59" s="1"/>
  <c r="L24" i="59"/>
  <c r="AY24" i="59" s="1"/>
  <c r="L16" i="59"/>
  <c r="AY16" i="59" s="1"/>
  <c r="L245" i="11"/>
  <c r="L229" i="11"/>
  <c r="L213" i="11"/>
  <c r="L197" i="11"/>
  <c r="L181" i="11"/>
  <c r="L165" i="11"/>
  <c r="L149" i="11"/>
  <c r="L129" i="11"/>
  <c r="L113" i="11"/>
  <c r="L97" i="11"/>
  <c r="L81" i="11"/>
  <c r="L65" i="11"/>
  <c r="L49" i="11"/>
  <c r="L139" i="59"/>
  <c r="AY139" i="59" s="1"/>
  <c r="L131" i="59"/>
  <c r="AY131" i="59" s="1"/>
  <c r="L123" i="59"/>
  <c r="AY123" i="59" s="1"/>
  <c r="L107" i="59"/>
  <c r="AY107" i="59" s="1"/>
  <c r="L99" i="59"/>
  <c r="AY99" i="59" s="1"/>
  <c r="L91" i="59"/>
  <c r="AY91" i="59" s="1"/>
  <c r="L83" i="59"/>
  <c r="AY83" i="59" s="1"/>
  <c r="L75" i="59"/>
  <c r="AY75" i="59" s="1"/>
  <c r="L67" i="59"/>
  <c r="AY67" i="59" s="1"/>
  <c r="L59" i="59"/>
  <c r="AY59" i="59" s="1"/>
  <c r="L43" i="59"/>
  <c r="AY43" i="59" s="1"/>
  <c r="L35" i="59"/>
  <c r="AY35" i="59" s="1"/>
  <c r="L27" i="59"/>
  <c r="AY27" i="59" s="1"/>
  <c r="K191" i="71"/>
  <c r="K175" i="71"/>
  <c r="K159" i="71"/>
  <c r="K143" i="71"/>
  <c r="K111" i="71"/>
  <c r="K79" i="71"/>
  <c r="K47" i="71"/>
  <c r="L54" i="11"/>
  <c r="L14" i="11"/>
  <c r="K232" i="46"/>
  <c r="K196" i="46"/>
  <c r="K148" i="46"/>
  <c r="L252" i="59"/>
  <c r="AY252" i="59" s="1"/>
  <c r="L224" i="59"/>
  <c r="AY224" i="59" s="1"/>
  <c r="L216" i="59"/>
  <c r="AY216" i="59" s="1"/>
  <c r="L160" i="59"/>
  <c r="AY160" i="59" s="1"/>
  <c r="L152" i="59"/>
  <c r="AY152" i="59" s="1"/>
  <c r="L140" i="59"/>
  <c r="AY140" i="59" s="1"/>
  <c r="L116" i="59"/>
  <c r="L100" i="59"/>
  <c r="AY100" i="59" s="1"/>
  <c r="L96" i="59"/>
  <c r="AY96" i="59" s="1"/>
  <c r="L68" i="59"/>
  <c r="AY68" i="59" s="1"/>
  <c r="L44" i="59"/>
  <c r="AY44" i="59" s="1"/>
  <c r="L36" i="59"/>
  <c r="AY36" i="59" s="1"/>
  <c r="K192" i="71"/>
  <c r="K168" i="71"/>
  <c r="K144" i="71"/>
  <c r="K128" i="71"/>
  <c r="K104" i="71"/>
  <c r="K80" i="71"/>
  <c r="K64" i="71"/>
  <c r="K48" i="71"/>
  <c r="K32" i="71"/>
  <c r="K16" i="71"/>
  <c r="L231" i="11"/>
  <c r="L195" i="11"/>
  <c r="L13" i="11"/>
  <c r="L25" i="11"/>
  <c r="K199" i="46"/>
  <c r="K183" i="46"/>
  <c r="K171" i="46"/>
  <c r="K143" i="46"/>
  <c r="K127" i="46"/>
  <c r="K87" i="46"/>
  <c r="K71" i="46"/>
  <c r="L255" i="59"/>
  <c r="AY255" i="59" s="1"/>
  <c r="L247" i="59"/>
  <c r="AY247" i="59" s="1"/>
  <c r="L239" i="59"/>
  <c r="AY239" i="59" s="1"/>
  <c r="L231" i="59"/>
  <c r="AY231" i="59" s="1"/>
  <c r="L223" i="59"/>
  <c r="AY223" i="59" s="1"/>
  <c r="L215" i="59"/>
  <c r="AY215" i="59" s="1"/>
  <c r="L207" i="59"/>
  <c r="AY207" i="59" s="1"/>
  <c r="L199" i="59"/>
  <c r="AY199" i="59" s="1"/>
  <c r="L191" i="59"/>
  <c r="AY191" i="59" s="1"/>
  <c r="L183" i="59"/>
  <c r="AY183" i="59" s="1"/>
  <c r="L175" i="59"/>
  <c r="AY175" i="59" s="1"/>
  <c r="L167" i="59"/>
  <c r="AY167" i="59" s="1"/>
  <c r="L79" i="59"/>
  <c r="AY79" i="59" s="1"/>
  <c r="L23" i="59"/>
  <c r="AY23" i="59" s="1"/>
  <c r="L103" i="59"/>
  <c r="AY103" i="59" s="1"/>
  <c r="L63" i="59"/>
  <c r="AY63" i="59" s="1"/>
  <c r="L47" i="59"/>
  <c r="AY47" i="59" s="1"/>
  <c r="L31" i="59"/>
  <c r="AY31" i="59" s="1"/>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P53" i="57"/>
  <c r="AB35" i="69"/>
  <c r="AG35" i="69"/>
  <c r="AO37" i="69"/>
  <c r="O38" i="69"/>
  <c r="AE52" i="53"/>
  <c r="AF51" i="53"/>
  <c r="R52" i="53"/>
  <c r="X52" i="53" s="1"/>
  <c r="AY36" i="69"/>
  <c r="L53" i="57"/>
  <c r="AH52" i="53"/>
  <c r="AT52" i="53"/>
  <c r="AG52" i="53"/>
  <c r="N53" i="57"/>
  <c r="AH36" i="69"/>
  <c r="AD52" i="53"/>
  <c r="Q52" i="53"/>
  <c r="C53" i="53"/>
  <c r="K53" i="53"/>
  <c r="AK52" i="52" a="1"/>
  <c r="AK52" i="52" s="1"/>
  <c r="B54" i="53" s="1"/>
  <c r="D53" i="53"/>
  <c r="H53" i="53"/>
  <c r="I53" i="53"/>
  <c r="F53" i="53"/>
  <c r="P53" i="53"/>
  <c r="E53" i="53"/>
  <c r="J53" i="53"/>
  <c r="L53" i="53"/>
  <c r="G53" i="53"/>
  <c r="K53" i="57"/>
  <c r="I53" i="57"/>
  <c r="G53" i="57"/>
  <c r="E53" i="57"/>
  <c r="C53" i="57"/>
  <c r="D53" i="57"/>
  <c r="F53" i="57"/>
  <c r="H53" i="57"/>
  <c r="J53" i="57"/>
  <c r="AN52" i="55" a="1"/>
  <c r="AN52" i="55" s="1"/>
  <c r="B54" i="57" s="1"/>
  <c r="AR38" i="67" a="1"/>
  <c r="AR38" i="67" s="1"/>
  <c r="B39" i="69"/>
  <c r="L39" i="69" s="1"/>
  <c r="D37" i="69"/>
  <c r="E37" i="69" s="1"/>
  <c r="F37" i="69" s="1"/>
  <c r="G37" i="69" s="1"/>
  <c r="H37" i="69" s="1"/>
  <c r="I37" i="69" s="1"/>
  <c r="J37" i="69" s="1"/>
  <c r="K37" i="69" s="1"/>
  <c r="M37" i="69" s="1"/>
  <c r="AE36" i="69"/>
  <c r="R36" i="69"/>
  <c r="S36" i="69" s="1"/>
  <c r="Y36" i="69" s="1"/>
  <c r="C38" i="69"/>
  <c r="P38" i="69" s="1"/>
  <c r="Y116" i="59" l="1"/>
  <c r="AY116" i="59"/>
  <c r="X51" i="57"/>
  <c r="AB51" i="57" s="1"/>
  <c r="AG53" i="57"/>
  <c r="AC52" i="57"/>
  <c r="M54" i="53"/>
  <c r="AC54" i="53" s="1"/>
  <c r="O54" i="53"/>
  <c r="AP38" i="69"/>
  <c r="N38" i="69"/>
  <c r="U38" i="69" s="1"/>
  <c r="AQ52" i="57"/>
  <c r="AE52" i="57"/>
  <c r="AD52" i="57"/>
  <c r="Q52" i="57"/>
  <c r="T52" i="57" s="1"/>
  <c r="AJ52" i="57"/>
  <c r="R52" i="57"/>
  <c r="AB50" i="57"/>
  <c r="AA50" i="57"/>
  <c r="M53" i="57"/>
  <c r="AK53" i="57" s="1"/>
  <c r="N54" i="53"/>
  <c r="AA52" i="53"/>
  <c r="AB52" i="53"/>
  <c r="AF37" i="69"/>
  <c r="Q37" i="69"/>
  <c r="O54" i="57"/>
  <c r="P54" i="57"/>
  <c r="AC35" i="69"/>
  <c r="AD35" i="69" s="1"/>
  <c r="AB36" i="69"/>
  <c r="AG36" i="69"/>
  <c r="O39" i="69"/>
  <c r="AO38" i="69"/>
  <c r="AF52" i="53"/>
  <c r="AE53" i="53"/>
  <c r="R53" i="53"/>
  <c r="X53" i="53" s="1"/>
  <c r="X12" i="59"/>
  <c r="V55" i="22" s="1"/>
  <c r="Y12" i="59"/>
  <c r="Y15" i="59"/>
  <c r="X15" i="59"/>
  <c r="Y13" i="59"/>
  <c r="X13" i="59"/>
  <c r="Y14" i="59"/>
  <c r="X14" i="59"/>
  <c r="Y150" i="59"/>
  <c r="X150" i="59"/>
  <c r="Y87" i="59"/>
  <c r="X87" i="59"/>
  <c r="Y215" i="59"/>
  <c r="X215" i="59"/>
  <c r="Y43" i="59"/>
  <c r="X43" i="59"/>
  <c r="V108" i="22" s="1"/>
  <c r="Y171" i="59"/>
  <c r="X171" i="59"/>
  <c r="Y108" i="59"/>
  <c r="X108" i="59"/>
  <c r="Y236" i="59"/>
  <c r="X236" i="59"/>
  <c r="Y46" i="59"/>
  <c r="X46" i="59"/>
  <c r="V114" i="22" s="1"/>
  <c r="Y174" i="59"/>
  <c r="X174" i="59"/>
  <c r="Y111" i="59"/>
  <c r="X111" i="59"/>
  <c r="Y239" i="59"/>
  <c r="X239" i="59"/>
  <c r="Y51" i="59"/>
  <c r="X51" i="59"/>
  <c r="V130" i="22" s="1"/>
  <c r="Y179" i="59"/>
  <c r="X179" i="59"/>
  <c r="X116" i="59"/>
  <c r="Y244" i="59"/>
  <c r="X244" i="59"/>
  <c r="Y16" i="59"/>
  <c r="X16" i="59"/>
  <c r="X80" i="59"/>
  <c r="Y80" i="59"/>
  <c r="Y144" i="59"/>
  <c r="X144" i="59"/>
  <c r="X208" i="59"/>
  <c r="Y208" i="59"/>
  <c r="X49" i="59"/>
  <c r="V120" i="22" s="1"/>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s="1"/>
  <c r="Y172" i="59"/>
  <c r="X172" i="59"/>
  <c r="Y110" i="59"/>
  <c r="X110" i="59"/>
  <c r="Y238" i="59"/>
  <c r="X238" i="59"/>
  <c r="Y47" i="59"/>
  <c r="X47" i="59"/>
  <c r="V115" i="22" s="1"/>
  <c r="Y175" i="59"/>
  <c r="X175" i="59"/>
  <c r="Y115" i="59"/>
  <c r="X115" i="59"/>
  <c r="Y243" i="59"/>
  <c r="X243" i="59"/>
  <c r="Y52" i="59"/>
  <c r="X52" i="59"/>
  <c r="V117" i="22" s="1"/>
  <c r="X180" i="59"/>
  <c r="Y180" i="59"/>
  <c r="Y48" i="59"/>
  <c r="X48" i="59"/>
  <c r="V119" i="22" s="1"/>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s="1"/>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AG53" i="53"/>
  <c r="AH53" i="53"/>
  <c r="AT53" i="53"/>
  <c r="N54" i="57"/>
  <c r="L54" i="53"/>
  <c r="AH37" i="69"/>
  <c r="AD53" i="53"/>
  <c r="Q53" i="53"/>
  <c r="G54" i="53"/>
  <c r="D54" i="53"/>
  <c r="J54" i="53"/>
  <c r="AK53" i="52" a="1"/>
  <c r="AK53" i="52" s="1"/>
  <c r="B55" i="53" s="1"/>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8"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21" i="22" s="1"/>
  <c r="V221" i="11"/>
  <c r="U221" i="11"/>
  <c r="V95" i="11"/>
  <c r="U95" i="11"/>
  <c r="V56" i="11"/>
  <c r="U56" i="11"/>
  <c r="H123" i="22" s="1"/>
  <c r="V89" i="11"/>
  <c r="U89" i="11"/>
  <c r="U130" i="11"/>
  <c r="V130" i="11"/>
  <c r="V99" i="11"/>
  <c r="U99" i="11"/>
  <c r="V24" i="11"/>
  <c r="U24" i="11"/>
  <c r="V88" i="11"/>
  <c r="U88" i="11"/>
  <c r="V152" i="11"/>
  <c r="U152" i="11"/>
  <c r="V216" i="11"/>
  <c r="U216" i="11"/>
  <c r="V57" i="11"/>
  <c r="U57" i="11"/>
  <c r="H119" i="22" s="1"/>
  <c r="U121" i="11"/>
  <c r="V121" i="11"/>
  <c r="V185" i="11"/>
  <c r="U185" i="11"/>
  <c r="V249" i="11"/>
  <c r="U249" i="11"/>
  <c r="U34" i="11"/>
  <c r="V34" i="11"/>
  <c r="V98" i="11"/>
  <c r="U98" i="11"/>
  <c r="V162" i="11"/>
  <c r="U162" i="11"/>
  <c r="U226" i="11"/>
  <c r="V226" i="11"/>
  <c r="V67" i="11"/>
  <c r="U67" i="11"/>
  <c r="H129"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22"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4" i="22" s="1"/>
  <c r="V118" i="11"/>
  <c r="U118" i="11"/>
  <c r="V182" i="11"/>
  <c r="U182" i="11"/>
  <c r="V246" i="11"/>
  <c r="U246" i="11"/>
  <c r="V23" i="11"/>
  <c r="U23" i="11"/>
  <c r="V87" i="11"/>
  <c r="U87" i="11"/>
  <c r="V151" i="11"/>
  <c r="U151" i="11"/>
  <c r="V215" i="11"/>
  <c r="U215" i="1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F54" i="57"/>
  <c r="J54" i="57"/>
  <c r="V240" i="11"/>
  <c r="U240" i="11"/>
  <c r="V122" i="11"/>
  <c r="U122" i="11"/>
  <c r="U124" i="11"/>
  <c r="V124" i="11"/>
  <c r="V62" i="11"/>
  <c r="U62" i="11"/>
  <c r="H130" i="22" s="1"/>
  <c r="V159" i="11"/>
  <c r="U159" i="11"/>
  <c r="V25" i="11"/>
  <c r="U25" i="11"/>
  <c r="V66" i="11"/>
  <c r="U66" i="11"/>
  <c r="V163" i="11"/>
  <c r="U163" i="11"/>
  <c r="V68" i="11"/>
  <c r="U68" i="1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10"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20"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5" i="22" s="1"/>
  <c r="V117" i="11"/>
  <c r="U117" i="11"/>
  <c r="V181" i="11"/>
  <c r="U181" i="11"/>
  <c r="V245" i="11"/>
  <c r="U245" i="11"/>
  <c r="V22" i="11"/>
  <c r="U22" i="11"/>
  <c r="H134" i="22" s="1"/>
  <c r="V86" i="11"/>
  <c r="U86" i="11"/>
  <c r="V150" i="11"/>
  <c r="U150" i="11"/>
  <c r="V214" i="11"/>
  <c r="U214" i="11"/>
  <c r="V55" i="11"/>
  <c r="U55" i="11"/>
  <c r="H126" i="22" s="1"/>
  <c r="V119" i="11"/>
  <c r="U119" i="11"/>
  <c r="V183" i="11"/>
  <c r="U183" i="11"/>
  <c r="V247" i="11"/>
  <c r="U247" i="11"/>
  <c r="AN53" i="55" a="1"/>
  <c r="AN53" i="55" s="1"/>
  <c r="B55" i="57" s="1"/>
  <c r="AE37" i="69"/>
  <c r="R37" i="69"/>
  <c r="S37" i="69" s="1"/>
  <c r="Y37" i="69" s="1"/>
  <c r="D38" i="69"/>
  <c r="E38" i="69" s="1"/>
  <c r="F38" i="69" s="1"/>
  <c r="G38" i="69" s="1"/>
  <c r="H38" i="69" s="1"/>
  <c r="I38" i="69" s="1"/>
  <c r="J38" i="69" s="1"/>
  <c r="K38" i="69" s="1"/>
  <c r="M38" i="69" s="1"/>
  <c r="C39" i="69"/>
  <c r="P39" i="69" s="1"/>
  <c r="AR39" i="67" a="1"/>
  <c r="AR39" i="67" s="1"/>
  <c r="B40" i="69"/>
  <c r="L40" i="69" s="1"/>
  <c r="B26" i="72"/>
  <c r="B25" i="72"/>
  <c r="B24" i="72"/>
  <c r="B23" i="72"/>
  <c r="B22" i="72"/>
  <c r="B21" i="72"/>
  <c r="B20" i="72"/>
  <c r="B19" i="72"/>
  <c r="B18" i="72"/>
  <c r="B17" i="72"/>
  <c r="H132" i="22" l="1"/>
  <c r="X52" i="57"/>
  <c r="AB52" i="57" s="1"/>
  <c r="AG54" i="57"/>
  <c r="M55" i="53"/>
  <c r="AC55" i="53" s="1"/>
  <c r="O55" i="53"/>
  <c r="AP39" i="69"/>
  <c r="N39" i="69"/>
  <c r="U39" i="69" s="1"/>
  <c r="AE53" i="57"/>
  <c r="AF51" i="57"/>
  <c r="AQ53" i="57"/>
  <c r="AD53" i="57"/>
  <c r="AJ53" i="57"/>
  <c r="AA51" i="57"/>
  <c r="Q53" i="57"/>
  <c r="T53" i="57" s="1"/>
  <c r="AC53" i="57"/>
  <c r="R53" i="57"/>
  <c r="M54" i="57"/>
  <c r="AK54" i="57" s="1"/>
  <c r="N55" i="53"/>
  <c r="AA53" i="53"/>
  <c r="AB53" i="53"/>
  <c r="AF38" i="69"/>
  <c r="Q38" i="69"/>
  <c r="O55" i="57"/>
  <c r="P55" i="57"/>
  <c r="AC36" i="69"/>
  <c r="AD36" i="69" s="1"/>
  <c r="AB37" i="69"/>
  <c r="AG37" i="69"/>
  <c r="O40" i="69"/>
  <c r="AO39" i="69"/>
  <c r="AF53" i="53"/>
  <c r="AE54" i="53"/>
  <c r="R54" i="53"/>
  <c r="X54" i="53" s="1"/>
  <c r="H112" i="22"/>
  <c r="H105" i="22"/>
  <c r="H107" i="22"/>
  <c r="H111" i="22"/>
  <c r="H118" i="22"/>
  <c r="V113" i="22"/>
  <c r="V116" i="22"/>
  <c r="V106" i="22"/>
  <c r="V103" i="22"/>
  <c r="H106" i="22"/>
  <c r="AY38" i="69"/>
  <c r="L55" i="57"/>
  <c r="AG54" i="53"/>
  <c r="AH54" i="53"/>
  <c r="AT54" i="53"/>
  <c r="H108" i="22"/>
  <c r="N55" i="57"/>
  <c r="G55" i="53"/>
  <c r="AH38" i="69"/>
  <c r="Q54" i="53"/>
  <c r="AD54" i="53"/>
  <c r="AK54" i="52" a="1"/>
  <c r="AK54" i="52" s="1"/>
  <c r="B56" i="53" s="1"/>
  <c r="F55" i="53"/>
  <c r="H55" i="53"/>
  <c r="I55" i="53"/>
  <c r="C55" i="53"/>
  <c r="E55" i="53"/>
  <c r="K55" i="53"/>
  <c r="P55" i="53"/>
  <c r="J55" i="53"/>
  <c r="L55" i="53"/>
  <c r="D55" i="53"/>
  <c r="G55" i="57"/>
  <c r="K55" i="57"/>
  <c r="I55" i="57"/>
  <c r="C55" i="57"/>
  <c r="E55" i="57"/>
  <c r="F55" i="57"/>
  <c r="J55" i="57"/>
  <c r="D55" i="57"/>
  <c r="H55" i="57"/>
  <c r="AN54" i="55" a="1"/>
  <c r="AN54" i="55" s="1"/>
  <c r="B56" i="57" s="1"/>
  <c r="AR40" i="67" a="1"/>
  <c r="AR40" i="67" s="1"/>
  <c r="B41" i="69"/>
  <c r="L41" i="69" s="1"/>
  <c r="D39" i="69"/>
  <c r="E39" i="69" s="1"/>
  <c r="F39" i="69" s="1"/>
  <c r="G39" i="69" s="1"/>
  <c r="H39" i="69" s="1"/>
  <c r="I39" i="69" s="1"/>
  <c r="J39" i="69" s="1"/>
  <c r="K39" i="69" s="1"/>
  <c r="M39" i="69" s="1"/>
  <c r="R38" i="69"/>
  <c r="S38" i="69" s="1"/>
  <c r="Y38" i="69" s="1"/>
  <c r="AE38" i="69"/>
  <c r="C40" i="69"/>
  <c r="P40" i="69" s="1"/>
  <c r="L15" i="29"/>
  <c r="X53" i="57" l="1"/>
  <c r="AB53" i="57" s="1"/>
  <c r="AG55" i="57"/>
  <c r="M56" i="53"/>
  <c r="AC56" i="53" s="1"/>
  <c r="O56" i="53"/>
  <c r="AP40" i="69"/>
  <c r="N40" i="69"/>
  <c r="U40" i="69" s="1"/>
  <c r="AF52" i="57"/>
  <c r="AA52" i="57"/>
  <c r="AJ54" i="57"/>
  <c r="AE54" i="57"/>
  <c r="R54" i="57"/>
  <c r="Q54" i="57"/>
  <c r="T54" i="57" s="1"/>
  <c r="AD54" i="57"/>
  <c r="AQ54" i="57"/>
  <c r="AC54" i="57"/>
  <c r="M55" i="57"/>
  <c r="AK55" i="57" s="1"/>
  <c r="N56" i="53"/>
  <c r="AA54" i="53"/>
  <c r="AB54" i="53"/>
  <c r="AF39" i="69"/>
  <c r="Q39" i="69"/>
  <c r="O56" i="57"/>
  <c r="P56" i="57"/>
  <c r="AC37" i="69"/>
  <c r="AD37" i="69" s="1"/>
  <c r="AB38" i="69"/>
  <c r="AG38" i="69"/>
  <c r="O41" i="69"/>
  <c r="AO40" i="69"/>
  <c r="AF54" i="53"/>
  <c r="AE55" i="53"/>
  <c r="R55" i="53"/>
  <c r="X55" i="53" s="1"/>
  <c r="AY39" i="69"/>
  <c r="L56" i="57"/>
  <c r="AG55" i="53"/>
  <c r="AH55" i="53"/>
  <c r="AT55" i="53"/>
  <c r="N56" i="57"/>
  <c r="F56" i="53"/>
  <c r="AH39" i="69"/>
  <c r="AD55" i="53"/>
  <c r="Q55" i="53"/>
  <c r="AK55" i="52" a="1"/>
  <c r="AK55" i="52" s="1"/>
  <c r="B57" i="53" s="1"/>
  <c r="D56" i="53"/>
  <c r="L56" i="53"/>
  <c r="I56" i="53"/>
  <c r="C56" i="53"/>
  <c r="G56" i="53"/>
  <c r="E56" i="53"/>
  <c r="P56" i="53"/>
  <c r="H56" i="53"/>
  <c r="J56" i="53"/>
  <c r="K56" i="53"/>
  <c r="I56" i="57"/>
  <c r="C56" i="57"/>
  <c r="K56" i="57"/>
  <c r="J56" i="57"/>
  <c r="F56" i="57"/>
  <c r="E56" i="57"/>
  <c r="H56" i="57"/>
  <c r="D56" i="57"/>
  <c r="G56" i="57"/>
  <c r="AN55" i="55" a="1"/>
  <c r="AN55" i="55" s="1"/>
  <c r="B57" i="57" s="1"/>
  <c r="AR41" i="67" a="1"/>
  <c r="AR41" i="67" s="1"/>
  <c r="B42" i="69"/>
  <c r="L42" i="69" s="1"/>
  <c r="C41" i="69"/>
  <c r="P41" i="69" s="1"/>
  <c r="D40" i="69"/>
  <c r="E40" i="69" s="1"/>
  <c r="F40" i="69" s="1"/>
  <c r="G40" i="69" s="1"/>
  <c r="H40" i="69" s="1"/>
  <c r="I40" i="69" s="1"/>
  <c r="J40" i="69" s="1"/>
  <c r="K40" i="69" s="1"/>
  <c r="M40" i="69" s="1"/>
  <c r="R39" i="69"/>
  <c r="S39" i="69" s="1"/>
  <c r="Y39" i="69" s="1"/>
  <c r="AE39" i="69"/>
  <c r="X54" i="57" l="1"/>
  <c r="AB54" i="57" s="1"/>
  <c r="AG56" i="57"/>
  <c r="M57" i="53"/>
  <c r="AC57" i="53" s="1"/>
  <c r="O57" i="53"/>
  <c r="AP41" i="69"/>
  <c r="N41" i="69"/>
  <c r="U41" i="69" s="1"/>
  <c r="AF53" i="57"/>
  <c r="AA53" i="57"/>
  <c r="AE55" i="57"/>
  <c r="AQ55" i="57"/>
  <c r="AD55" i="57"/>
  <c r="AJ55" i="57"/>
  <c r="R55" i="57"/>
  <c r="Q55" i="57"/>
  <c r="T55" i="57" s="1"/>
  <c r="AC55" i="57"/>
  <c r="M56" i="57"/>
  <c r="AK56" i="57" s="1"/>
  <c r="N57" i="53"/>
  <c r="AA55" i="53"/>
  <c r="AB55" i="53"/>
  <c r="AF40" i="69"/>
  <c r="Q40" i="69"/>
  <c r="O57" i="57"/>
  <c r="P57" i="57"/>
  <c r="AC38" i="69"/>
  <c r="AD38" i="69" s="1"/>
  <c r="AB39" i="69"/>
  <c r="AG39" i="69"/>
  <c r="AO41" i="69"/>
  <c r="O42" i="69"/>
  <c r="AE56" i="53"/>
  <c r="AF55" i="53"/>
  <c r="R56" i="53"/>
  <c r="X56" i="53" s="1"/>
  <c r="AY40" i="69"/>
  <c r="L57" i="57"/>
  <c r="AG56" i="53"/>
  <c r="AH56" i="53"/>
  <c r="AT56" i="53"/>
  <c r="N57" i="57"/>
  <c r="C57" i="53"/>
  <c r="AH40" i="69"/>
  <c r="Q56" i="53"/>
  <c r="AD56" i="53"/>
  <c r="H57" i="53"/>
  <c r="F57" i="53"/>
  <c r="K57" i="53"/>
  <c r="E57" i="53"/>
  <c r="L57" i="53"/>
  <c r="J57" i="53"/>
  <c r="G57" i="53"/>
  <c r="AK56" i="52" a="1"/>
  <c r="AK56" i="52" s="1"/>
  <c r="B58" i="53" s="1"/>
  <c r="D57" i="53"/>
  <c r="P57" i="53"/>
  <c r="I57" i="53"/>
  <c r="I57" i="57"/>
  <c r="E57" i="57"/>
  <c r="D57" i="57"/>
  <c r="C57" i="57"/>
  <c r="K57" i="57"/>
  <c r="H57" i="57"/>
  <c r="G57" i="57"/>
  <c r="F57" i="57"/>
  <c r="J57" i="57"/>
  <c r="AN56" i="55" a="1"/>
  <c r="AN56" i="55" s="1"/>
  <c r="B58" i="57" s="1"/>
  <c r="AE40" i="69"/>
  <c r="R40" i="69"/>
  <c r="S40" i="69" s="1"/>
  <c r="Y40" i="69" s="1"/>
  <c r="D41" i="69"/>
  <c r="E41" i="69" s="1"/>
  <c r="F41" i="69" s="1"/>
  <c r="G41" i="69" s="1"/>
  <c r="H41" i="69" s="1"/>
  <c r="I41" i="69" s="1"/>
  <c r="J41" i="69" s="1"/>
  <c r="K41" i="69" s="1"/>
  <c r="M41" i="69" s="1"/>
  <c r="C42" i="69"/>
  <c r="P42" i="69" s="1"/>
  <c r="AR42" i="67" a="1"/>
  <c r="AR42" i="67" s="1"/>
  <c r="B43" i="69"/>
  <c r="L43" i="69" s="1"/>
  <c r="B3" i="73"/>
  <c r="X55" i="57" l="1"/>
  <c r="AB55" i="57" s="1"/>
  <c r="AG57" i="57"/>
  <c r="M58" i="53"/>
  <c r="AC58" i="53" s="1"/>
  <c r="O58" i="53"/>
  <c r="AP42" i="69"/>
  <c r="N42" i="69"/>
  <c r="U42" i="69" s="1"/>
  <c r="AF54" i="57"/>
  <c r="AA54" i="57"/>
  <c r="AQ56" i="57"/>
  <c r="AC56" i="57"/>
  <c r="AE56" i="57"/>
  <c r="Q56" i="57"/>
  <c r="T56" i="57" s="1"/>
  <c r="AD56" i="57"/>
  <c r="AJ56" i="57"/>
  <c r="R56" i="57"/>
  <c r="M57" i="57"/>
  <c r="AK57" i="57" s="1"/>
  <c r="N58" i="53"/>
  <c r="AA56" i="53"/>
  <c r="AB56" i="53"/>
  <c r="AF41" i="69"/>
  <c r="Q41" i="69"/>
  <c r="O58" i="57"/>
  <c r="P58" i="57"/>
  <c r="AC39" i="69"/>
  <c r="AD39" i="69" s="1"/>
  <c r="AB40" i="69"/>
  <c r="AG40" i="69"/>
  <c r="O43" i="69"/>
  <c r="AO42" i="69"/>
  <c r="AE57" i="53"/>
  <c r="AF56" i="53"/>
  <c r="R57" i="53"/>
  <c r="X57" i="53" s="1"/>
  <c r="AY41" i="69"/>
  <c r="L58" i="57"/>
  <c r="AG57" i="53"/>
  <c r="AH57" i="53"/>
  <c r="AT57" i="53"/>
  <c r="N58" i="57"/>
  <c r="AH41" i="69"/>
  <c r="AD57" i="53"/>
  <c r="Q57" i="53"/>
  <c r="K58" i="53"/>
  <c r="P58" i="53"/>
  <c r="I58" i="53"/>
  <c r="E58" i="53"/>
  <c r="H58" i="53"/>
  <c r="AK57" i="52" a="1"/>
  <c r="AK57" i="52" s="1"/>
  <c r="B59" i="53" s="1"/>
  <c r="J58" i="53"/>
  <c r="D58" i="53"/>
  <c r="L58" i="53"/>
  <c r="C58" i="53"/>
  <c r="G58" i="53"/>
  <c r="F58" i="53"/>
  <c r="D58" i="57"/>
  <c r="G58" i="57"/>
  <c r="K58" i="57"/>
  <c r="F58" i="57"/>
  <c r="E58" i="57"/>
  <c r="I58" i="57"/>
  <c r="C58" i="57"/>
  <c r="H58" i="57"/>
  <c r="J58" i="57"/>
  <c r="AN57" i="55" a="1"/>
  <c r="AN57" i="55" s="1"/>
  <c r="B59" i="57" s="1"/>
  <c r="C43" i="69"/>
  <c r="P43" i="69" s="1"/>
  <c r="D42" i="69"/>
  <c r="E42" i="69" s="1"/>
  <c r="F42" i="69" s="1"/>
  <c r="G42" i="69" s="1"/>
  <c r="H42" i="69" s="1"/>
  <c r="I42" i="69" s="1"/>
  <c r="J42" i="69" s="1"/>
  <c r="K42" i="69" s="1"/>
  <c r="M42" i="69" s="1"/>
  <c r="R41" i="69"/>
  <c r="S41" i="69" s="1"/>
  <c r="Y41" i="69" s="1"/>
  <c r="AE41" i="69"/>
  <c r="AR43" i="67" a="1"/>
  <c r="AR43" i="67" s="1"/>
  <c r="B44" i="69"/>
  <c r="L44" i="69" s="1"/>
  <c r="X56" i="57" l="1"/>
  <c r="AB56" i="57" s="1"/>
  <c r="AG58" i="57"/>
  <c r="M59" i="53"/>
  <c r="AC59" i="53" s="1"/>
  <c r="O59" i="53"/>
  <c r="AP43" i="69"/>
  <c r="N43" i="69"/>
  <c r="U43" i="69" s="1"/>
  <c r="AF55" i="57"/>
  <c r="AA55" i="57"/>
  <c r="AQ57" i="57"/>
  <c r="AJ57" i="57"/>
  <c r="R57" i="57"/>
  <c r="Q57" i="57"/>
  <c r="T57" i="57" s="1"/>
  <c r="AD57" i="57"/>
  <c r="AE57" i="57"/>
  <c r="AC57" i="57"/>
  <c r="M58" i="57"/>
  <c r="AK58" i="57" s="1"/>
  <c r="N59" i="53"/>
  <c r="AA57" i="53"/>
  <c r="AB57" i="53"/>
  <c r="AF42" i="69"/>
  <c r="Q42" i="69"/>
  <c r="O59" i="57"/>
  <c r="P59" i="57"/>
  <c r="AC40" i="69"/>
  <c r="AD40" i="69" s="1"/>
  <c r="AB41" i="69"/>
  <c r="AG41" i="69"/>
  <c r="O44" i="69"/>
  <c r="AO43" i="69"/>
  <c r="AE58" i="53"/>
  <c r="AF57" i="53"/>
  <c r="R58" i="53"/>
  <c r="X58" i="53" s="1"/>
  <c r="AY42" i="69"/>
  <c r="L59" i="57"/>
  <c r="AG58" i="53"/>
  <c r="AH58" i="53"/>
  <c r="AT58" i="53"/>
  <c r="N59" i="57"/>
  <c r="H59" i="53"/>
  <c r="AH42" i="69"/>
  <c r="Q58" i="53"/>
  <c r="AD58" i="53"/>
  <c r="AK58" i="52" a="1"/>
  <c r="AK58" i="52" s="1"/>
  <c r="B60" i="53" s="1"/>
  <c r="K59" i="53"/>
  <c r="P59" i="53"/>
  <c r="I59" i="53"/>
  <c r="C59" i="53"/>
  <c r="E59" i="53"/>
  <c r="J59" i="53"/>
  <c r="L59" i="53"/>
  <c r="D59" i="53"/>
  <c r="G59" i="53"/>
  <c r="F59" i="53"/>
  <c r="K59" i="57"/>
  <c r="G59" i="57"/>
  <c r="E59" i="57"/>
  <c r="D59" i="57"/>
  <c r="C59" i="57"/>
  <c r="I59" i="57"/>
  <c r="H59" i="57"/>
  <c r="F59" i="57"/>
  <c r="J59" i="57"/>
  <c r="AN58" i="55" a="1"/>
  <c r="AN58" i="55" s="1"/>
  <c r="B60" i="57" s="1"/>
  <c r="C44" i="69"/>
  <c r="P44" i="69" s="1"/>
  <c r="D43" i="69"/>
  <c r="E43" i="69" s="1"/>
  <c r="F43" i="69" s="1"/>
  <c r="G43" i="69" s="1"/>
  <c r="H43" i="69" s="1"/>
  <c r="I43" i="69" s="1"/>
  <c r="J43" i="69" s="1"/>
  <c r="K43" i="69" s="1"/>
  <c r="M43" i="69" s="1"/>
  <c r="R42" i="69"/>
  <c r="S42" i="69" s="1"/>
  <c r="Y42" i="69" s="1"/>
  <c r="AE42" i="69"/>
  <c r="AR44" i="67" a="1"/>
  <c r="AR44" i="67" s="1"/>
  <c r="B45" i="69"/>
  <c r="L45" i="69" s="1"/>
  <c r="X57" i="57" l="1"/>
  <c r="AB57" i="57" s="1"/>
  <c r="AG59" i="57"/>
  <c r="AQ58" i="57"/>
  <c r="M60" i="53"/>
  <c r="AC60" i="53" s="1"/>
  <c r="O60" i="53"/>
  <c r="AP44" i="69"/>
  <c r="N44" i="69"/>
  <c r="U44" i="69" s="1"/>
  <c r="AA56" i="57"/>
  <c r="AF56" i="57"/>
  <c r="AJ58" i="57"/>
  <c r="Q58" i="57"/>
  <c r="T58" i="57" s="1"/>
  <c r="AC58" i="57"/>
  <c r="AD58" i="57"/>
  <c r="AE58" i="57"/>
  <c r="R58" i="57"/>
  <c r="M59" i="57"/>
  <c r="AK59" i="57" s="1"/>
  <c r="N60" i="53"/>
  <c r="AA58" i="53"/>
  <c r="AB58" i="53"/>
  <c r="AF43" i="69"/>
  <c r="Q43" i="69"/>
  <c r="O60" i="57"/>
  <c r="P60" i="57"/>
  <c r="AC41" i="69"/>
  <c r="AD41" i="69" s="1"/>
  <c r="AB42" i="69"/>
  <c r="AG42" i="69"/>
  <c r="AO44" i="69"/>
  <c r="O45" i="69"/>
  <c r="AE59" i="53"/>
  <c r="AF58" i="53"/>
  <c r="R59" i="53"/>
  <c r="X59" i="53" s="1"/>
  <c r="AY43" i="69"/>
  <c r="L60" i="57"/>
  <c r="AG59" i="53"/>
  <c r="AH59" i="53"/>
  <c r="AT59" i="53"/>
  <c r="N60" i="57"/>
  <c r="AH43" i="69"/>
  <c r="Q59" i="53"/>
  <c r="AD59" i="53"/>
  <c r="J60" i="53"/>
  <c r="K60" i="53"/>
  <c r="E60" i="53"/>
  <c r="F60" i="53"/>
  <c r="P60" i="53"/>
  <c r="I60" i="53"/>
  <c r="L60" i="53"/>
  <c r="C60" i="53"/>
  <c r="AK59" i="52" a="1"/>
  <c r="AK59" i="52" s="1"/>
  <c r="B61" i="53" s="1"/>
  <c r="D60" i="53"/>
  <c r="H60" i="53"/>
  <c r="G60" i="53"/>
  <c r="K60" i="57"/>
  <c r="I60" i="57"/>
  <c r="F60" i="57"/>
  <c r="C60" i="57"/>
  <c r="H60" i="57"/>
  <c r="D60" i="57"/>
  <c r="G60" i="57"/>
  <c r="E60" i="57"/>
  <c r="J60" i="57"/>
  <c r="AN59" i="55" a="1"/>
  <c r="AN59" i="55" s="1"/>
  <c r="B61" i="57" s="1"/>
  <c r="R43" i="69"/>
  <c r="S43" i="69" s="1"/>
  <c r="Y43" i="69" s="1"/>
  <c r="AE43" i="69"/>
  <c r="C45" i="69"/>
  <c r="P45" i="69" s="1"/>
  <c r="AR45" i="67" a="1"/>
  <c r="AR45" i="67" s="1"/>
  <c r="B46" i="69"/>
  <c r="L46" i="69" s="1"/>
  <c r="D44" i="69"/>
  <c r="E44" i="69" s="1"/>
  <c r="F44" i="69" s="1"/>
  <c r="G44" i="69" s="1"/>
  <c r="H44" i="69" s="1"/>
  <c r="I44" i="69" s="1"/>
  <c r="J44" i="69" s="1"/>
  <c r="K44" i="69" s="1"/>
  <c r="M44" i="69" s="1"/>
  <c r="AB43" i="69" l="1"/>
  <c r="AC43" i="69" s="1"/>
  <c r="AD43" i="69" s="1"/>
  <c r="AG60" i="57"/>
  <c r="X58" i="57"/>
  <c r="AB58" i="57" s="1"/>
  <c r="Q59" i="57"/>
  <c r="T59" i="57" s="1"/>
  <c r="M61" i="53"/>
  <c r="AC61" i="53" s="1"/>
  <c r="O61" i="53"/>
  <c r="AP45" i="69"/>
  <c r="N45" i="69"/>
  <c r="U45" i="69" s="1"/>
  <c r="AQ59" i="57"/>
  <c r="AJ59" i="57"/>
  <c r="R59" i="57"/>
  <c r="AF57" i="57"/>
  <c r="AA57" i="57"/>
  <c r="AD59" i="57"/>
  <c r="AC59" i="57"/>
  <c r="AE59" i="57"/>
  <c r="M60" i="57"/>
  <c r="AK60" i="57" s="1"/>
  <c r="N61" i="53"/>
  <c r="AA59" i="53"/>
  <c r="AB59" i="53"/>
  <c r="AF44" i="69"/>
  <c r="Q44" i="69"/>
  <c r="O61" i="57"/>
  <c r="P61" i="57"/>
  <c r="AC42" i="69"/>
  <c r="AD42" i="69" s="1"/>
  <c r="O46" i="69"/>
  <c r="AO45" i="69"/>
  <c r="AG43" i="69"/>
  <c r="AF59" i="53"/>
  <c r="AE60" i="53"/>
  <c r="R60" i="53"/>
  <c r="X60" i="53" s="1"/>
  <c r="AY44" i="69"/>
  <c r="L61" i="57"/>
  <c r="AT60" i="53"/>
  <c r="AH60" i="53"/>
  <c r="AG60" i="53"/>
  <c r="N61" i="57"/>
  <c r="AH44" i="69"/>
  <c r="AD60" i="53"/>
  <c r="Q60" i="53"/>
  <c r="AK60" i="52" a="1"/>
  <c r="AK60" i="52" s="1"/>
  <c r="B62" i="53" s="1"/>
  <c r="H61" i="53"/>
  <c r="F61" i="53"/>
  <c r="I61" i="53"/>
  <c r="C61" i="53"/>
  <c r="L61" i="53"/>
  <c r="P61" i="53"/>
  <c r="K61" i="53"/>
  <c r="E61" i="53"/>
  <c r="D61" i="53"/>
  <c r="J61" i="53"/>
  <c r="G61" i="53"/>
  <c r="G61" i="57"/>
  <c r="C61" i="57"/>
  <c r="K61" i="57"/>
  <c r="I61" i="57"/>
  <c r="H61" i="57"/>
  <c r="E61" i="57"/>
  <c r="D61" i="57"/>
  <c r="J61" i="57"/>
  <c r="F61" i="57"/>
  <c r="AN60" i="55" a="1"/>
  <c r="AN60" i="55" s="1"/>
  <c r="B62" i="57" s="1"/>
  <c r="R44" i="69"/>
  <c r="S44" i="69" s="1"/>
  <c r="Y44" i="69" s="1"/>
  <c r="AE44" i="69"/>
  <c r="C46" i="69"/>
  <c r="P46" i="69" s="1"/>
  <c r="AR46" i="67" a="1"/>
  <c r="AR46" i="67" s="1"/>
  <c r="B47" i="69"/>
  <c r="L47" i="69" s="1"/>
  <c r="D45" i="69"/>
  <c r="E45" i="69" s="1"/>
  <c r="F45" i="69" s="1"/>
  <c r="G45" i="69" s="1"/>
  <c r="H45" i="69" s="1"/>
  <c r="I45" i="69" s="1"/>
  <c r="J45" i="69" s="1"/>
  <c r="K45" i="69" s="1"/>
  <c r="M45" i="69" s="1"/>
  <c r="X59" i="57" l="1"/>
  <c r="AB59" i="57" s="1"/>
  <c r="AG61" i="57"/>
  <c r="M62" i="53"/>
  <c r="AC62" i="53" s="1"/>
  <c r="O62" i="53"/>
  <c r="AP46" i="69"/>
  <c r="N46" i="69"/>
  <c r="U46" i="69" s="1"/>
  <c r="AQ60" i="57"/>
  <c r="AE60" i="57"/>
  <c r="AA58" i="57"/>
  <c r="AF58" i="57"/>
  <c r="AD60" i="57"/>
  <c r="Q60" i="57"/>
  <c r="T60" i="57" s="1"/>
  <c r="AJ60" i="57"/>
  <c r="R60" i="57"/>
  <c r="AC60" i="57"/>
  <c r="M61" i="57"/>
  <c r="AK61" i="57" s="1"/>
  <c r="N62" i="53"/>
  <c r="AA60" i="53"/>
  <c r="AB60" i="53"/>
  <c r="AF45" i="69"/>
  <c r="Q45" i="69"/>
  <c r="O62" i="57"/>
  <c r="P62" i="57"/>
  <c r="AB44" i="69"/>
  <c r="AG44" i="69"/>
  <c r="O47" i="69"/>
  <c r="AO46" i="69"/>
  <c r="AE61" i="53"/>
  <c r="AF60" i="53"/>
  <c r="R61" i="53"/>
  <c r="X61" i="53" s="1"/>
  <c r="AY45" i="69"/>
  <c r="L62" i="57"/>
  <c r="AG61" i="53"/>
  <c r="AH61" i="53"/>
  <c r="AT61" i="53"/>
  <c r="N62" i="57"/>
  <c r="H62" i="53"/>
  <c r="AH45" i="69"/>
  <c r="AD61" i="53"/>
  <c r="Q61" i="53"/>
  <c r="F62" i="53"/>
  <c r="E62" i="53"/>
  <c r="I62" i="53"/>
  <c r="C62" i="53"/>
  <c r="G62" i="53"/>
  <c r="K62" i="53"/>
  <c r="J62" i="53"/>
  <c r="AK61" i="52" a="1"/>
  <c r="AK61" i="52" s="1"/>
  <c r="B63" i="53" s="1"/>
  <c r="L62" i="53"/>
  <c r="P62" i="53"/>
  <c r="D62" i="53"/>
  <c r="E62" i="57"/>
  <c r="J62" i="57"/>
  <c r="G62" i="57"/>
  <c r="C62" i="57"/>
  <c r="K62" i="57"/>
  <c r="F62" i="57"/>
  <c r="H62" i="57"/>
  <c r="D62" i="57"/>
  <c r="I62" i="57"/>
  <c r="AN61" i="55" a="1"/>
  <c r="AN61" i="55" s="1"/>
  <c r="B63" i="57" s="1"/>
  <c r="AR47" i="67" a="1"/>
  <c r="AR47" i="67" s="1"/>
  <c r="B48" i="69"/>
  <c r="L48" i="69" s="1"/>
  <c r="R45" i="69"/>
  <c r="S45" i="69" s="1"/>
  <c r="Y45" i="69" s="1"/>
  <c r="AE45" i="69"/>
  <c r="C47" i="69"/>
  <c r="P47" i="69" s="1"/>
  <c r="D46" i="69"/>
  <c r="E46" i="69" s="1"/>
  <c r="F46" i="69" s="1"/>
  <c r="G46" i="69" s="1"/>
  <c r="H46" i="69" s="1"/>
  <c r="I46" i="69" s="1"/>
  <c r="J46" i="69" s="1"/>
  <c r="K46" i="69" s="1"/>
  <c r="M46" i="69" s="1"/>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X60" i="57" l="1"/>
  <c r="AB60" i="57" s="1"/>
  <c r="AG62" i="57"/>
  <c r="AF59" i="57"/>
  <c r="AA59" i="57"/>
  <c r="AD61" i="57"/>
  <c r="M63" i="53"/>
  <c r="AC63" i="53" s="1"/>
  <c r="O63" i="53"/>
  <c r="AP47" i="69"/>
  <c r="N47" i="69"/>
  <c r="U47" i="69" s="1"/>
  <c r="AJ61" i="57"/>
  <c r="R61" i="57"/>
  <c r="AQ61" i="57"/>
  <c r="Q61" i="57"/>
  <c r="T61" i="57" s="1"/>
  <c r="AE61" i="57"/>
  <c r="AC61" i="57"/>
  <c r="M62" i="57"/>
  <c r="AK62" i="57" s="1"/>
  <c r="N63" i="53"/>
  <c r="AA61" i="53"/>
  <c r="AB61" i="53"/>
  <c r="AF46" i="69"/>
  <c r="Q46" i="69"/>
  <c r="O63" i="57"/>
  <c r="P63" i="57"/>
  <c r="AC44" i="69"/>
  <c r="AD44" i="69" s="1"/>
  <c r="AB45" i="69"/>
  <c r="AG45" i="69"/>
  <c r="AO47" i="69"/>
  <c r="O48" i="69"/>
  <c r="AF61" i="53"/>
  <c r="AE62" i="53"/>
  <c r="R62" i="53"/>
  <c r="X62" i="53" s="1"/>
  <c r="AY46" i="69"/>
  <c r="L63" i="57"/>
  <c r="AG62" i="53"/>
  <c r="AH62" i="53"/>
  <c r="AT62" i="53"/>
  <c r="N63" i="57"/>
  <c r="P63" i="53"/>
  <c r="AH46" i="69"/>
  <c r="Q62" i="53"/>
  <c r="AD62" i="53"/>
  <c r="AK62" i="52" a="1"/>
  <c r="AK62" i="52" s="1"/>
  <c r="B64" i="53" s="1"/>
  <c r="J63" i="53"/>
  <c r="I63" i="53"/>
  <c r="C63" i="53"/>
  <c r="E63" i="53"/>
  <c r="G63" i="53"/>
  <c r="D63" i="53"/>
  <c r="H63" i="53"/>
  <c r="L63" i="53"/>
  <c r="F63" i="53"/>
  <c r="K63" i="53"/>
  <c r="D63" i="57"/>
  <c r="K63" i="57"/>
  <c r="I63" i="57"/>
  <c r="H63" i="57"/>
  <c r="G63" i="57"/>
  <c r="E63" i="57"/>
  <c r="C63" i="57"/>
  <c r="F63" i="57"/>
  <c r="J63" i="57"/>
  <c r="AN62" i="55" a="1"/>
  <c r="AN62" i="55" s="1"/>
  <c r="B64" i="57" s="1"/>
  <c r="AR48" i="67" a="1"/>
  <c r="AR48" i="67" s="1"/>
  <c r="B49" i="69"/>
  <c r="L49" i="69" s="1"/>
  <c r="R46" i="69"/>
  <c r="S46" i="69" s="1"/>
  <c r="Y46" i="69" s="1"/>
  <c r="AE46" i="69"/>
  <c r="C48" i="69"/>
  <c r="P48" i="69" s="1"/>
  <c r="D47" i="69"/>
  <c r="E47" i="69" s="1"/>
  <c r="F47" i="69" s="1"/>
  <c r="G47" i="69" s="1"/>
  <c r="H47" i="69" s="1"/>
  <c r="I47" i="69" s="1"/>
  <c r="J47" i="69" s="1"/>
  <c r="K47" i="69" s="1"/>
  <c r="M47" i="69" s="1"/>
  <c r="X61" i="57" l="1"/>
  <c r="AB61" i="57" s="1"/>
  <c r="AG63" i="57"/>
  <c r="M64" i="53"/>
  <c r="AC64" i="53" s="1"/>
  <c r="O64" i="53"/>
  <c r="AP48" i="69"/>
  <c r="N48" i="69"/>
  <c r="U48" i="69" s="1"/>
  <c r="Q62" i="57"/>
  <c r="T62" i="57" s="1"/>
  <c r="AC62" i="57"/>
  <c r="AF60" i="57"/>
  <c r="AA60" i="57"/>
  <c r="AE62" i="57"/>
  <c r="AQ62" i="57"/>
  <c r="AD62" i="57"/>
  <c r="AJ62" i="57"/>
  <c r="R62" i="57"/>
  <c r="M63" i="57"/>
  <c r="AK63" i="57" s="1"/>
  <c r="N64" i="53"/>
  <c r="AA62" i="53"/>
  <c r="AB62" i="53"/>
  <c r="AF47" i="69"/>
  <c r="Q47" i="69"/>
  <c r="O64" i="57"/>
  <c r="P64" i="57"/>
  <c r="AC45" i="69"/>
  <c r="AD45" i="69" s="1"/>
  <c r="AB46" i="69"/>
  <c r="AG46" i="69"/>
  <c r="AO48" i="69"/>
  <c r="O49" i="69"/>
  <c r="AF62" i="53"/>
  <c r="AE63" i="53"/>
  <c r="R63" i="53"/>
  <c r="X63" i="53" s="1"/>
  <c r="AY47" i="69"/>
  <c r="L64" i="57"/>
  <c r="AG63" i="53"/>
  <c r="AH63" i="53"/>
  <c r="AT63" i="53"/>
  <c r="N64" i="57"/>
  <c r="P64" i="53"/>
  <c r="AH47" i="69"/>
  <c r="Q63" i="53"/>
  <c r="AD63" i="53"/>
  <c r="G64" i="53"/>
  <c r="E64" i="53"/>
  <c r="C64" i="53"/>
  <c r="L64" i="53"/>
  <c r="H64" i="53"/>
  <c r="AK63" i="52" a="1"/>
  <c r="AK63" i="52" s="1"/>
  <c r="B65" i="53" s="1"/>
  <c r="F64" i="53"/>
  <c r="J64" i="53"/>
  <c r="I64" i="53"/>
  <c r="D64" i="53"/>
  <c r="K64" i="53"/>
  <c r="E64" i="57"/>
  <c r="K64" i="57"/>
  <c r="J64" i="57"/>
  <c r="I64" i="57"/>
  <c r="F64" i="57"/>
  <c r="C64" i="57"/>
  <c r="H64" i="57"/>
  <c r="D64" i="57"/>
  <c r="G64" i="57"/>
  <c r="AN63" i="55" a="1"/>
  <c r="AN63" i="55" s="1"/>
  <c r="B65" i="57" s="1"/>
  <c r="D48" i="69"/>
  <c r="E48" i="69" s="1"/>
  <c r="F48" i="69" s="1"/>
  <c r="G48" i="69" s="1"/>
  <c r="H48" i="69" s="1"/>
  <c r="I48" i="69" s="1"/>
  <c r="J48" i="69" s="1"/>
  <c r="K48" i="69" s="1"/>
  <c r="M48" i="69" s="1"/>
  <c r="AE47" i="69"/>
  <c r="R47" i="69"/>
  <c r="S47" i="69" s="1"/>
  <c r="Y47" i="69" s="1"/>
  <c r="C49" i="69"/>
  <c r="P49" i="69" s="1"/>
  <c r="AR49" i="67" a="1"/>
  <c r="AR49" i="67" s="1"/>
  <c r="B50" i="69"/>
  <c r="L50" i="69" s="1"/>
  <c r="M15" i="29"/>
  <c r="A96" i="22"/>
  <c r="T96" i="22" s="1"/>
  <c r="B96" i="22"/>
  <c r="C96" i="22"/>
  <c r="A97" i="22"/>
  <c r="B97" i="22"/>
  <c r="C97" i="22"/>
  <c r="A98" i="22"/>
  <c r="B98" i="22"/>
  <c r="C98" i="22"/>
  <c r="A99" i="22"/>
  <c r="B99" i="22"/>
  <c r="C99" i="22"/>
  <c r="A100" i="22"/>
  <c r="B100" i="22"/>
  <c r="C100" i="22"/>
  <c r="A101" i="22"/>
  <c r="B101" i="22"/>
  <c r="C101" i="22"/>
  <c r="A102" i="22"/>
  <c r="X102" i="22" s="1"/>
  <c r="B102" i="22"/>
  <c r="C102" i="22"/>
  <c r="A5" i="22"/>
  <c r="B5" i="22"/>
  <c r="C5" i="22"/>
  <c r="A6" i="22"/>
  <c r="B6" i="22"/>
  <c r="C6" i="22"/>
  <c r="A7" i="22"/>
  <c r="B7" i="22"/>
  <c r="C7" i="22"/>
  <c r="A8" i="22"/>
  <c r="X8" i="22" s="1"/>
  <c r="B8" i="22"/>
  <c r="C8" i="22"/>
  <c r="A9" i="22"/>
  <c r="B9" i="22"/>
  <c r="C9" i="22"/>
  <c r="A10" i="22"/>
  <c r="B10" i="22"/>
  <c r="C10" i="22"/>
  <c r="A11" i="22"/>
  <c r="B11" i="22"/>
  <c r="C11" i="22"/>
  <c r="A12" i="22"/>
  <c r="B12" i="22"/>
  <c r="C12" i="22"/>
  <c r="A13" i="22"/>
  <c r="B13" i="22"/>
  <c r="C13" i="22"/>
  <c r="A14" i="22"/>
  <c r="B14" i="22"/>
  <c r="C14" i="22"/>
  <c r="A15" i="22"/>
  <c r="X15" i="22" s="1"/>
  <c r="B15" i="22"/>
  <c r="C15" i="22"/>
  <c r="A16" i="22"/>
  <c r="B16" i="22"/>
  <c r="C16" i="22"/>
  <c r="A17" i="22"/>
  <c r="B17" i="22"/>
  <c r="C17" i="22"/>
  <c r="A18" i="22"/>
  <c r="T18" i="22" s="1"/>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s="1"/>
  <c r="B30" i="22"/>
  <c r="C30" i="22"/>
  <c r="A31" i="22"/>
  <c r="B31" i="22"/>
  <c r="C31" i="22"/>
  <c r="A32" i="22"/>
  <c r="T32" i="22" s="1"/>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s="1"/>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l="1"/>
  <c r="T90" i="22"/>
  <c r="T82" i="22"/>
  <c r="X82" i="22"/>
  <c r="F70" i="22"/>
  <c r="T70" i="22"/>
  <c r="X70" i="22"/>
  <c r="T62" i="22"/>
  <c r="X62" i="22"/>
  <c r="X54" i="22"/>
  <c r="T54" i="22"/>
  <c r="T46" i="22"/>
  <c r="X46" i="22"/>
  <c r="F36" i="22"/>
  <c r="T36" i="22"/>
  <c r="X36" i="22"/>
  <c r="T28" i="22"/>
  <c r="X28"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X84" i="22"/>
  <c r="T84" i="22"/>
  <c r="F72" i="22"/>
  <c r="T72" i="22"/>
  <c r="X72" i="22"/>
  <c r="T64" i="22"/>
  <c r="X64" i="22"/>
  <c r="T57" i="22"/>
  <c r="X57" i="22"/>
  <c r="X48" i="22"/>
  <c r="T48" i="22"/>
  <c r="F39" i="22"/>
  <c r="X39" i="22"/>
  <c r="T39" i="22"/>
  <c r="X22" i="22"/>
  <c r="T22" i="22"/>
  <c r="X6" i="22"/>
  <c r="T6" i="22"/>
  <c r="F89" i="22"/>
  <c r="T89" i="22"/>
  <c r="X89" i="22"/>
  <c r="F81" i="22"/>
  <c r="X81" i="22"/>
  <c r="T81" i="22"/>
  <c r="T69" i="22"/>
  <c r="X69"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AL35" i="22"/>
  <c r="D72" i="36" s="1"/>
  <c r="AK35" i="22"/>
  <c r="C72" i="36" s="1"/>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X31" i="22"/>
  <c r="T31" i="22"/>
  <c r="T23" i="22"/>
  <c r="X23" i="22"/>
  <c r="F7" i="22"/>
  <c r="T7" i="22"/>
  <c r="X7" i="22"/>
  <c r="T97" i="22"/>
  <c r="X97" i="22"/>
  <c r="AG64" i="57"/>
  <c r="X62" i="57"/>
  <c r="AB62" i="57" s="1"/>
  <c r="M65" i="53"/>
  <c r="AC65" i="53" s="1"/>
  <c r="O65" i="53"/>
  <c r="AP49" i="69"/>
  <c r="N49" i="69"/>
  <c r="U49" i="69" s="1"/>
  <c r="AA61" i="57"/>
  <c r="AF61" i="57"/>
  <c r="AQ63" i="57"/>
  <c r="AC63" i="57"/>
  <c r="AD63" i="57"/>
  <c r="AE63" i="57"/>
  <c r="Q63" i="57"/>
  <c r="T63" i="57" s="1"/>
  <c r="AJ63" i="57"/>
  <c r="R63" i="57"/>
  <c r="M64" i="57"/>
  <c r="AK64" i="57" s="1"/>
  <c r="N65" i="53"/>
  <c r="AA63" i="53"/>
  <c r="AB63" i="53"/>
  <c r="AW151" i="22"/>
  <c r="AW80" i="22"/>
  <c r="AW134" i="22"/>
  <c r="S4" i="22"/>
  <c r="AF48" i="69"/>
  <c r="Q48" i="69"/>
  <c r="O65" i="57"/>
  <c r="P65" i="57"/>
  <c r="AC46" i="69"/>
  <c r="AD46" i="69" s="1"/>
  <c r="AB47" i="69"/>
  <c r="AG47" i="69"/>
  <c r="O50" i="69"/>
  <c r="AO49" i="69"/>
  <c r="U4" i="22"/>
  <c r="AF63" i="53"/>
  <c r="AE64" i="53"/>
  <c r="R64" i="53"/>
  <c r="X64" i="53" s="1"/>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S13" i="22"/>
  <c r="E13" i="22"/>
  <c r="S6" i="22"/>
  <c r="E6" i="22"/>
  <c r="E96" i="22"/>
  <c r="AW99" i="22" s="1"/>
  <c r="S96" i="22"/>
  <c r="S76" i="22"/>
  <c r="AK34" i="22" s="1"/>
  <c r="C73" i="36" s="1"/>
  <c r="E76" i="22"/>
  <c r="S68" i="22"/>
  <c r="E68" i="22"/>
  <c r="S41" i="22"/>
  <c r="E41" i="22"/>
  <c r="S52" i="22"/>
  <c r="E52" i="22"/>
  <c r="S44" i="22"/>
  <c r="E44" i="22"/>
  <c r="E34" i="22"/>
  <c r="S34" i="22"/>
  <c r="S26" i="22"/>
  <c r="E26" i="22"/>
  <c r="S18" i="22"/>
  <c r="E18" i="22"/>
  <c r="E10" i="22"/>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AG64" i="53"/>
  <c r="Q64" i="53"/>
  <c r="AH64" i="53"/>
  <c r="AT64" i="53"/>
  <c r="N65" i="57"/>
  <c r="I65" i="53"/>
  <c r="AH48" i="69"/>
  <c r="AD64" i="53"/>
  <c r="AK64" i="52" a="1"/>
  <c r="AK64" i="52" s="1"/>
  <c r="B66" i="53" s="1"/>
  <c r="J65" i="53"/>
  <c r="E65" i="53"/>
  <c r="H65" i="53"/>
  <c r="G65" i="53"/>
  <c r="P65" i="53"/>
  <c r="D65" i="53"/>
  <c r="C65" i="53"/>
  <c r="K65" i="53"/>
  <c r="L65" i="53"/>
  <c r="F65" i="53"/>
  <c r="G65" i="57"/>
  <c r="C65" i="57"/>
  <c r="K65" i="57"/>
  <c r="I65" i="57"/>
  <c r="H65" i="57"/>
  <c r="E65" i="57"/>
  <c r="D65" i="57"/>
  <c r="F65" i="57"/>
  <c r="J65" i="57"/>
  <c r="AW139" i="22"/>
  <c r="AW102" i="22"/>
  <c r="AW101" i="22"/>
  <c r="AK16" i="22"/>
  <c r="AK33" i="22"/>
  <c r="AN64" i="55" a="1"/>
  <c r="AN64" i="55" s="1"/>
  <c r="B66" i="57" s="1"/>
  <c r="D49" i="69"/>
  <c r="E49" i="69" s="1"/>
  <c r="F49" i="69" s="1"/>
  <c r="G49" i="69" s="1"/>
  <c r="H49" i="69" s="1"/>
  <c r="I49" i="69" s="1"/>
  <c r="J49" i="69" s="1"/>
  <c r="K49" i="69" s="1"/>
  <c r="M49" i="69" s="1"/>
  <c r="C50" i="69"/>
  <c r="P50" i="69" s="1"/>
  <c r="AR50" i="67" a="1"/>
  <c r="AR50" i="67" s="1"/>
  <c r="B51" i="69"/>
  <c r="L51" i="69" s="1"/>
  <c r="AE48" i="69"/>
  <c r="R48" i="69"/>
  <c r="S48" i="69" s="1"/>
  <c r="Y48" i="69" s="1"/>
  <c r="V97" i="22"/>
  <c r="U97" i="22"/>
  <c r="V49" i="22"/>
  <c r="U49" i="22"/>
  <c r="U81" i="22"/>
  <c r="V81" i="22"/>
  <c r="U60" i="22"/>
  <c r="V60" i="22"/>
  <c r="U43" i="22"/>
  <c r="V43" i="22"/>
  <c r="AK30" i="22"/>
  <c r="C68" i="36" s="1"/>
  <c r="AK32" i="22"/>
  <c r="C70" i="36" s="1"/>
  <c r="AK29" i="22"/>
  <c r="C67" i="36" s="1"/>
  <c r="AK31" i="22"/>
  <c r="C69" i="36" s="1"/>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AK14" i="22"/>
  <c r="AK15" i="22"/>
  <c r="K99" i="22"/>
  <c r="G98" i="22"/>
  <c r="W97" i="22"/>
  <c r="K97" i="22"/>
  <c r="G96" i="22"/>
  <c r="G102" i="22"/>
  <c r="W101" i="22"/>
  <c r="K101" i="22"/>
  <c r="G100" i="22"/>
  <c r="W99" i="22"/>
  <c r="W102" i="22"/>
  <c r="G99" i="22"/>
  <c r="W98" i="22"/>
  <c r="K98" i="22"/>
  <c r="G97" i="22"/>
  <c r="W96" i="22"/>
  <c r="K96" i="22"/>
  <c r="W100"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4" i="28" s="1"/>
  <c r="Q32" i="29"/>
  <c r="E35" i="28" s="1"/>
  <c r="Q33" i="29"/>
  <c r="E36" i="28" s="1"/>
  <c r="Q34" i="29"/>
  <c r="E37" i="28" s="1"/>
  <c r="Q35" i="29"/>
  <c r="E38" i="28" s="1"/>
  <c r="Q36" i="29"/>
  <c r="E39" i="28" s="1"/>
  <c r="Q38" i="29"/>
  <c r="E40" i="28" s="1"/>
  <c r="Q39" i="29"/>
  <c r="E53" i="28" s="1"/>
  <c r="Q41" i="29"/>
  <c r="E55" i="28" s="1"/>
  <c r="Q42" i="29"/>
  <c r="E56" i="28" s="1"/>
  <c r="Q43" i="29"/>
  <c r="E57" i="28" s="1"/>
  <c r="Q44" i="29"/>
  <c r="E58" i="28" s="1"/>
  <c r="Q45" i="29"/>
  <c r="E59" i="28" s="1"/>
  <c r="Q46" i="29"/>
  <c r="E61" i="28" s="1"/>
  <c r="Q47" i="29"/>
  <c r="E60" i="28" s="1"/>
  <c r="Q48" i="29"/>
  <c r="E62" i="28" s="1"/>
  <c r="Q49" i="29"/>
  <c r="E63" i="28" s="1"/>
  <c r="Q50" i="29"/>
  <c r="E72" i="28" s="1"/>
  <c r="Q51" i="29"/>
  <c r="E73" i="28" s="1"/>
  <c r="Q52" i="29"/>
  <c r="E74" i="28" s="1"/>
  <c r="Q53" i="29"/>
  <c r="E79" i="28" s="1"/>
  <c r="Q55" i="29"/>
  <c r="E75" i="28" s="1"/>
  <c r="Q56" i="29"/>
  <c r="E76" i="28" s="1"/>
  <c r="Q57" i="29"/>
  <c r="E77" i="28" s="1"/>
  <c r="Q58" i="29"/>
  <c r="E78" i="28" s="1"/>
  <c r="Q59" i="29"/>
  <c r="E83" i="28" s="1"/>
  <c r="Q40" i="29"/>
  <c r="E54" i="28" s="1"/>
  <c r="Q60" i="29"/>
  <c r="E84" i="28" s="1"/>
  <c r="Q61" i="29"/>
  <c r="E85" i="28" s="1"/>
  <c r="Q62" i="29"/>
  <c r="E86" i="28" s="1"/>
  <c r="Q63" i="29"/>
  <c r="E87" i="28" s="1"/>
  <c r="Q64" i="29"/>
  <c r="E88" i="28" s="1"/>
  <c r="Q65" i="29"/>
  <c r="E89" i="28" s="1"/>
  <c r="Q66" i="29"/>
  <c r="E90" i="28" s="1"/>
  <c r="Q67" i="29"/>
  <c r="E91" i="28" s="1"/>
  <c r="Q68" i="29"/>
  <c r="E92" i="28" s="1"/>
  <c r="Q69" i="29"/>
  <c r="E93" i="28" s="1"/>
  <c r="Q70" i="29"/>
  <c r="E94" i="28" s="1"/>
  <c r="Q71" i="29"/>
  <c r="E95" i="28" s="1"/>
  <c r="Q72" i="29"/>
  <c r="E96" i="28" s="1"/>
  <c r="Q73" i="29"/>
  <c r="E97" i="28" s="1"/>
  <c r="Q74" i="29"/>
  <c r="E98" i="28" s="1"/>
  <c r="Q80" i="29"/>
  <c r="E99" i="28" s="1"/>
  <c r="Q75" i="29"/>
  <c r="E100" i="28" s="1"/>
  <c r="Q76" i="29"/>
  <c r="E101" i="28" s="1"/>
  <c r="Q77" i="29"/>
  <c r="E81" i="28" s="1"/>
  <c r="Q79" i="29"/>
  <c r="E102" i="28" s="1"/>
  <c r="Q82" i="29"/>
  <c r="E103" i="28" s="1"/>
  <c r="Q83" i="29"/>
  <c r="E104" i="28" s="1"/>
  <c r="Q84" i="29"/>
  <c r="E105" i="28" s="1"/>
  <c r="Q85" i="29"/>
  <c r="E106" i="28" s="1"/>
  <c r="Q86" i="29"/>
  <c r="E107" i="28" s="1"/>
  <c r="Q87" i="29"/>
  <c r="E108" i="28" s="1"/>
  <c r="Q88" i="29"/>
  <c r="E109" i="28" s="1"/>
  <c r="Q89" i="29"/>
  <c r="E110" i="28" s="1"/>
  <c r="Q90" i="29"/>
  <c r="E111" i="28" s="1"/>
  <c r="Q91" i="29"/>
  <c r="E112" i="28" s="1"/>
  <c r="Q92" i="29"/>
  <c r="E113" i="28" s="1"/>
  <c r="Q93" i="29"/>
  <c r="E114" i="28" s="1"/>
  <c r="Q94" i="29"/>
  <c r="E115" i="28" s="1"/>
  <c r="Q95" i="29"/>
  <c r="E116" i="28" s="1"/>
  <c r="Q96" i="29"/>
  <c r="E117" i="28" s="1"/>
  <c r="Q97" i="29"/>
  <c r="E118" i="28" s="1"/>
  <c r="Q98" i="29"/>
  <c r="E119" i="28" s="1"/>
  <c r="Q99" i="29"/>
  <c r="E120" i="28" s="1"/>
  <c r="Q100" i="29"/>
  <c r="E121" i="28" s="1"/>
  <c r="Q101" i="29"/>
  <c r="E122" i="28" s="1"/>
  <c r="Q102" i="29"/>
  <c r="E123"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4" i="28" s="1"/>
  <c r="O32" i="29"/>
  <c r="C35" i="28" s="1"/>
  <c r="O33" i="29"/>
  <c r="C36" i="28" s="1"/>
  <c r="O34" i="29"/>
  <c r="C37" i="28" s="1"/>
  <c r="O35" i="29"/>
  <c r="C38" i="28" s="1"/>
  <c r="O36" i="29"/>
  <c r="C39" i="28" s="1"/>
  <c r="O38" i="29"/>
  <c r="C40" i="28" s="1"/>
  <c r="O39" i="29"/>
  <c r="C53" i="28" s="1"/>
  <c r="O41" i="29"/>
  <c r="C55" i="28" s="1"/>
  <c r="O42" i="29"/>
  <c r="C56" i="28" s="1"/>
  <c r="O43" i="29"/>
  <c r="C57" i="28" s="1"/>
  <c r="O44" i="29"/>
  <c r="C58" i="28" s="1"/>
  <c r="O45" i="29"/>
  <c r="C59" i="28" s="1"/>
  <c r="O46" i="29"/>
  <c r="C61" i="28" s="1"/>
  <c r="O47" i="29"/>
  <c r="C60" i="28" s="1"/>
  <c r="O48" i="29"/>
  <c r="C62" i="28" s="1"/>
  <c r="O49" i="29"/>
  <c r="C63" i="28" s="1"/>
  <c r="O50" i="29"/>
  <c r="C72" i="28" s="1"/>
  <c r="O51" i="29"/>
  <c r="C73" i="28" s="1"/>
  <c r="O52" i="29"/>
  <c r="C74" i="28" s="1"/>
  <c r="O53" i="29"/>
  <c r="C79" i="28" s="1"/>
  <c r="O55" i="29"/>
  <c r="C75" i="28" s="1"/>
  <c r="O56" i="29"/>
  <c r="C76" i="28" s="1"/>
  <c r="O57" i="29"/>
  <c r="C77" i="28" s="1"/>
  <c r="O58" i="29"/>
  <c r="C78" i="28" s="1"/>
  <c r="O59" i="29"/>
  <c r="C83" i="28" s="1"/>
  <c r="O40" i="29"/>
  <c r="C54" i="28" s="1"/>
  <c r="O60" i="29"/>
  <c r="C84" i="28" s="1"/>
  <c r="O61" i="29"/>
  <c r="C85" i="28" s="1"/>
  <c r="O62" i="29"/>
  <c r="C86" i="28" s="1"/>
  <c r="O63" i="29"/>
  <c r="C87" i="28" s="1"/>
  <c r="O64" i="29"/>
  <c r="C88" i="28" s="1"/>
  <c r="O65" i="29"/>
  <c r="C89" i="28" s="1"/>
  <c r="O66" i="29"/>
  <c r="C90" i="28" s="1"/>
  <c r="O67" i="29"/>
  <c r="C91" i="28" s="1"/>
  <c r="O68" i="29"/>
  <c r="C92" i="28" s="1"/>
  <c r="O69" i="29"/>
  <c r="C93" i="28" s="1"/>
  <c r="O70" i="29"/>
  <c r="C94" i="28" s="1"/>
  <c r="O71" i="29"/>
  <c r="C95" i="28" s="1"/>
  <c r="O72" i="29"/>
  <c r="C96" i="28" s="1"/>
  <c r="O73" i="29"/>
  <c r="C97" i="28" s="1"/>
  <c r="O74" i="29"/>
  <c r="C98" i="28" s="1"/>
  <c r="O80" i="29"/>
  <c r="C99" i="28" s="1"/>
  <c r="O75" i="29"/>
  <c r="C100" i="28" s="1"/>
  <c r="O76" i="29"/>
  <c r="C101" i="28" s="1"/>
  <c r="O77" i="29"/>
  <c r="C81" i="28" s="1"/>
  <c r="O79" i="29"/>
  <c r="C102" i="28" s="1"/>
  <c r="O82" i="29"/>
  <c r="C103" i="28" s="1"/>
  <c r="O83" i="29"/>
  <c r="C104" i="28" s="1"/>
  <c r="O84" i="29"/>
  <c r="C105" i="28" s="1"/>
  <c r="O85" i="29"/>
  <c r="C106" i="28" s="1"/>
  <c r="O86" i="29"/>
  <c r="C107" i="28" s="1"/>
  <c r="O87" i="29"/>
  <c r="C108" i="28" s="1"/>
  <c r="O88" i="29"/>
  <c r="C109" i="28" s="1"/>
  <c r="O89" i="29"/>
  <c r="C110" i="28" s="1"/>
  <c r="O90" i="29"/>
  <c r="C111" i="28" s="1"/>
  <c r="O91" i="29"/>
  <c r="C112" i="28" s="1"/>
  <c r="O92" i="29"/>
  <c r="C113" i="28" s="1"/>
  <c r="O93" i="29"/>
  <c r="C114" i="28" s="1"/>
  <c r="O94" i="29"/>
  <c r="C115" i="28" s="1"/>
  <c r="O95" i="29"/>
  <c r="C116" i="28" s="1"/>
  <c r="O96" i="29"/>
  <c r="C117" i="28" s="1"/>
  <c r="O97" i="29"/>
  <c r="C118" i="28" s="1"/>
  <c r="O98" i="29"/>
  <c r="C119" i="28" s="1"/>
  <c r="O99" i="29"/>
  <c r="C120" i="28" s="1"/>
  <c r="O100" i="29"/>
  <c r="C121" i="28" s="1"/>
  <c r="O101" i="29"/>
  <c r="C122" i="28" s="1"/>
  <c r="O102" i="29"/>
  <c r="C123"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l="1"/>
  <c r="C53" i="36" s="1"/>
  <c r="C92" i="36" s="1"/>
  <c r="AW105" i="22"/>
  <c r="AK26" i="22"/>
  <c r="AK9" i="22"/>
  <c r="X63" i="57"/>
  <c r="AB63" i="57" s="1"/>
  <c r="AG65" i="57"/>
  <c r="M66" i="53"/>
  <c r="AC66" i="53" s="1"/>
  <c r="O66" i="53"/>
  <c r="AP50" i="69"/>
  <c r="N50" i="69"/>
  <c r="U50" i="69" s="1"/>
  <c r="AF62" i="57"/>
  <c r="AA62" i="57"/>
  <c r="AD64" i="57"/>
  <c r="AQ64" i="57"/>
  <c r="AJ64" i="57"/>
  <c r="Q64" i="57"/>
  <c r="T64" i="57" s="1"/>
  <c r="R64" i="57"/>
  <c r="AE64" i="57"/>
  <c r="AC64" i="57"/>
  <c r="M65" i="57"/>
  <c r="AK65" i="57" s="1"/>
  <c r="N66" i="53"/>
  <c r="AA64" i="53"/>
  <c r="AB64" i="53"/>
  <c r="C71" i="36"/>
  <c r="C51" i="36"/>
  <c r="O11" i="71"/>
  <c r="AF49" i="69"/>
  <c r="Q49" i="69"/>
  <c r="O66" i="57"/>
  <c r="P66" i="57"/>
  <c r="AC47" i="69"/>
  <c r="AD47" i="69" s="1"/>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s="1"/>
  <c r="W17" i="71" s="1"/>
  <c r="X17" i="71" s="1"/>
  <c r="O229" i="71"/>
  <c r="O197" i="71"/>
  <c r="O161" i="71"/>
  <c r="O129" i="71"/>
  <c r="O148" i="71"/>
  <c r="O100" i="71"/>
  <c r="O84" i="71"/>
  <c r="O68" i="71"/>
  <c r="O52" i="71"/>
  <c r="O36" i="71"/>
  <c r="O20" i="71"/>
  <c r="O12" i="71"/>
  <c r="R12" i="71" s="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s="1"/>
  <c r="W19" i="71" s="1"/>
  <c r="X19" i="71" s="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s="1"/>
  <c r="W18" i="71" s="1"/>
  <c r="X18" i="71" s="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E65" i="53"/>
  <c r="AF64" i="53"/>
  <c r="R65" i="53"/>
  <c r="X65" i="53" s="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AG65" i="53"/>
  <c r="AH65" i="53"/>
  <c r="AT65" i="53"/>
  <c r="N66" i="57"/>
  <c r="P66" i="53"/>
  <c r="AH49" i="69"/>
  <c r="AD65" i="53"/>
  <c r="Q65" i="53"/>
  <c r="G66" i="53"/>
  <c r="I66" i="53"/>
  <c r="AK65" i="52" a="1"/>
  <c r="AK65" i="52" s="1"/>
  <c r="B67" i="53" s="1"/>
  <c r="C66" i="53"/>
  <c r="F66" i="53"/>
  <c r="H66" i="53"/>
  <c r="L66" i="53"/>
  <c r="E66" i="53"/>
  <c r="K66" i="53"/>
  <c r="J66" i="53"/>
  <c r="D66" i="53"/>
  <c r="E66" i="57"/>
  <c r="J66" i="57"/>
  <c r="H66" i="57"/>
  <c r="D66" i="57"/>
  <c r="K66" i="57"/>
  <c r="F66" i="57"/>
  <c r="I66" i="57"/>
  <c r="C66" i="57"/>
  <c r="G66" i="57"/>
  <c r="AN65" i="55" a="1"/>
  <c r="AN65" i="55" s="1"/>
  <c r="B67" i="57" s="1"/>
  <c r="C51" i="69"/>
  <c r="P51" i="69" s="1"/>
  <c r="AR51" i="67" a="1"/>
  <c r="AR51" i="67" s="1"/>
  <c r="B52" i="69"/>
  <c r="L52" i="69" s="1"/>
  <c r="D50" i="69"/>
  <c r="E50" i="69" s="1"/>
  <c r="F50" i="69" s="1"/>
  <c r="G50" i="69" s="1"/>
  <c r="H50" i="69" s="1"/>
  <c r="I50" i="69" s="1"/>
  <c r="J50" i="69" s="1"/>
  <c r="K50" i="69" s="1"/>
  <c r="M50" i="69" s="1"/>
  <c r="R49" i="69"/>
  <c r="S49" i="69" s="1"/>
  <c r="Y49" i="69" s="1"/>
  <c r="AE49" i="69"/>
  <c r="C18" i="28"/>
  <c r="E5" i="28"/>
  <c r="C9" i="28"/>
  <c r="C5" i="28"/>
  <c r="O106" i="46"/>
  <c r="S106" i="46" s="1"/>
  <c r="T106" i="46" s="1"/>
  <c r="O90" i="46"/>
  <c r="S90" i="46" s="1"/>
  <c r="T90" i="46" s="1"/>
  <c r="O74" i="46"/>
  <c r="S74" i="46" s="1"/>
  <c r="T74" i="46" s="1"/>
  <c r="O58" i="46"/>
  <c r="S58" i="46" s="1"/>
  <c r="T58" i="46" s="1"/>
  <c r="O251" i="46"/>
  <c r="S251" i="46" s="1"/>
  <c r="T251" i="46" s="1"/>
  <c r="O217" i="46"/>
  <c r="S217" i="46" s="1"/>
  <c r="T217" i="46" s="1"/>
  <c r="O185" i="46"/>
  <c r="S185" i="46" s="1"/>
  <c r="T185" i="46" s="1"/>
  <c r="O153" i="46"/>
  <c r="S153" i="46" s="1"/>
  <c r="T153" i="46" s="1"/>
  <c r="O121" i="46"/>
  <c r="S121" i="46" s="1"/>
  <c r="T121" i="46" s="1"/>
  <c r="O71" i="46"/>
  <c r="S71" i="46" s="1"/>
  <c r="T71" i="46" s="1"/>
  <c r="O26" i="46"/>
  <c r="S26" i="46" s="1"/>
  <c r="T26" i="46" s="1"/>
  <c r="O253" i="46"/>
  <c r="S253" i="46" s="1"/>
  <c r="T253" i="46" s="1"/>
  <c r="O214" i="46"/>
  <c r="S214" i="46" s="1"/>
  <c r="T214" i="46" s="1"/>
  <c r="O182" i="46"/>
  <c r="S182" i="46" s="1"/>
  <c r="T182" i="46" s="1"/>
  <c r="O150" i="46"/>
  <c r="S150" i="46" s="1"/>
  <c r="T150" i="46" s="1"/>
  <c r="O118" i="46"/>
  <c r="S118" i="46" s="1"/>
  <c r="T118" i="46" s="1"/>
  <c r="O73" i="46"/>
  <c r="S73" i="46" s="1"/>
  <c r="T73" i="46" s="1"/>
  <c r="O23" i="46"/>
  <c r="O236" i="46"/>
  <c r="S236" i="46" s="1"/>
  <c r="T236" i="46" s="1"/>
  <c r="O173" i="46"/>
  <c r="O109" i="46"/>
  <c r="S109" i="46" s="1"/>
  <c r="T109" i="46" s="1"/>
  <c r="O14" i="46"/>
  <c r="R14" i="46" s="1"/>
  <c r="O197" i="46"/>
  <c r="S197" i="46" s="1"/>
  <c r="T197" i="46" s="1"/>
  <c r="O159" i="46"/>
  <c r="S159" i="46" s="1"/>
  <c r="T159" i="46" s="1"/>
  <c r="O85" i="46"/>
  <c r="S85" i="46" s="1"/>
  <c r="T85" i="46" s="1"/>
  <c r="O215" i="46"/>
  <c r="S215" i="46" s="1"/>
  <c r="T215" i="46" s="1"/>
  <c r="O151" i="46"/>
  <c r="S151" i="46" s="1"/>
  <c r="T151" i="46" s="1"/>
  <c r="O61" i="46"/>
  <c r="S61" i="46" s="1"/>
  <c r="T61" i="46" s="1"/>
  <c r="O160" i="46"/>
  <c r="S160" i="46" s="1"/>
  <c r="T160" i="46" s="1"/>
  <c r="O22" i="46"/>
  <c r="O175" i="46"/>
  <c r="S175" i="46" s="1"/>
  <c r="T175" i="46" s="1"/>
  <c r="O104" i="46"/>
  <c r="S104" i="46" s="1"/>
  <c r="T104" i="46" s="1"/>
  <c r="O88" i="46"/>
  <c r="S88" i="46" s="1"/>
  <c r="T88" i="46" s="1"/>
  <c r="O72" i="46"/>
  <c r="S72" i="46" s="1"/>
  <c r="T72" i="46" s="1"/>
  <c r="O56" i="46"/>
  <c r="S56" i="46" s="1"/>
  <c r="T56" i="46" s="1"/>
  <c r="O248" i="46"/>
  <c r="S248" i="46" s="1"/>
  <c r="T248" i="46" s="1"/>
  <c r="O212" i="46"/>
  <c r="S212" i="46" s="1"/>
  <c r="T212" i="46" s="1"/>
  <c r="O180" i="46"/>
  <c r="S180" i="46" s="1"/>
  <c r="T180" i="46" s="1"/>
  <c r="O148" i="46"/>
  <c r="S148" i="46" s="1"/>
  <c r="T148" i="46" s="1"/>
  <c r="O116" i="46"/>
  <c r="S116" i="46" s="1"/>
  <c r="T116" i="46" s="1"/>
  <c r="O63" i="46"/>
  <c r="S63" i="46" s="1"/>
  <c r="T63" i="46" s="1"/>
  <c r="O21" i="46"/>
  <c r="O250" i="46"/>
  <c r="S250" i="46" s="1"/>
  <c r="T250" i="46" s="1"/>
  <c r="O211" i="46"/>
  <c r="S211" i="46" s="1"/>
  <c r="T211" i="46" s="1"/>
  <c r="O179" i="46"/>
  <c r="S179" i="46" s="1"/>
  <c r="T179" i="46" s="1"/>
  <c r="O147" i="46"/>
  <c r="S147" i="46" s="1"/>
  <c r="T147" i="46" s="1"/>
  <c r="O115" i="46"/>
  <c r="S115" i="46" s="1"/>
  <c r="T115" i="46" s="1"/>
  <c r="O65" i="46"/>
  <c r="S65" i="46" s="1"/>
  <c r="T65" i="46" s="1"/>
  <c r="O20" i="46"/>
  <c r="R20" i="46" s="1"/>
  <c r="O226" i="46"/>
  <c r="S226" i="46" s="1"/>
  <c r="T226" i="46" s="1"/>
  <c r="O168" i="46"/>
  <c r="S168" i="46" s="1"/>
  <c r="T168" i="46" s="1"/>
  <c r="O99" i="46"/>
  <c r="S99" i="46" s="1"/>
  <c r="T99" i="46" s="1"/>
  <c r="O181" i="46"/>
  <c r="S181" i="46" s="1"/>
  <c r="T181" i="46" s="1"/>
  <c r="O154" i="46"/>
  <c r="S154" i="46" s="1"/>
  <c r="T154" i="46" s="1"/>
  <c r="O16" i="46"/>
  <c r="R16" i="46" s="1"/>
  <c r="O210" i="46"/>
  <c r="S210" i="46" s="1"/>
  <c r="T210" i="46" s="1"/>
  <c r="O146" i="46"/>
  <c r="S146" i="46" s="1"/>
  <c r="T146" i="46" s="1"/>
  <c r="O45" i="46"/>
  <c r="S45" i="46" s="1"/>
  <c r="T45" i="46" s="1"/>
  <c r="O149" i="46"/>
  <c r="S149" i="46" s="1"/>
  <c r="T149" i="46" s="1"/>
  <c r="O17" i="46"/>
  <c r="O170" i="46"/>
  <c r="S170" i="46" s="1"/>
  <c r="T170" i="46" s="1"/>
  <c r="O102" i="46"/>
  <c r="S102" i="46" s="1"/>
  <c r="T102" i="46" s="1"/>
  <c r="O86" i="46"/>
  <c r="S86" i="46" s="1"/>
  <c r="T86" i="46" s="1"/>
  <c r="O70" i="46"/>
  <c r="S70" i="46" s="1"/>
  <c r="T70" i="46" s="1"/>
  <c r="O54" i="46"/>
  <c r="S54" i="46" s="1"/>
  <c r="T54" i="46" s="1"/>
  <c r="O243" i="46"/>
  <c r="S243" i="46" s="1"/>
  <c r="T243" i="46" s="1"/>
  <c r="O209" i="46"/>
  <c r="S209" i="46" s="1"/>
  <c r="T209" i="46" s="1"/>
  <c r="O177" i="46"/>
  <c r="S177" i="46" s="1"/>
  <c r="T177" i="46" s="1"/>
  <c r="O100" i="46"/>
  <c r="S100" i="46" s="1"/>
  <c r="T100" i="46" s="1"/>
  <c r="O84" i="46"/>
  <c r="S84" i="46" s="1"/>
  <c r="T84" i="46" s="1"/>
  <c r="O68" i="46"/>
  <c r="S68" i="46" s="1"/>
  <c r="T68" i="46" s="1"/>
  <c r="O52" i="46"/>
  <c r="S52" i="46" s="1"/>
  <c r="T52" i="46" s="1"/>
  <c r="O240" i="46"/>
  <c r="S240" i="46" s="1"/>
  <c r="T240" i="46" s="1"/>
  <c r="O204" i="46"/>
  <c r="S204" i="46" s="1"/>
  <c r="T204" i="46" s="1"/>
  <c r="O172" i="46"/>
  <c r="S172" i="46" s="1"/>
  <c r="T172" i="46" s="1"/>
  <c r="O140" i="46"/>
  <c r="S140" i="46" s="1"/>
  <c r="T140" i="46" s="1"/>
  <c r="O108" i="46"/>
  <c r="S108" i="46" s="1"/>
  <c r="T108" i="46" s="1"/>
  <c r="O47" i="46"/>
  <c r="S47" i="46" s="1"/>
  <c r="T47" i="46" s="1"/>
  <c r="O13" i="46"/>
  <c r="R13" i="46" s="1"/>
  <c r="O242" i="46"/>
  <c r="S242" i="46" s="1"/>
  <c r="T242" i="46" s="1"/>
  <c r="O203" i="46"/>
  <c r="S203" i="46" s="1"/>
  <c r="T203" i="46" s="1"/>
  <c r="O171" i="46"/>
  <c r="S171" i="46" s="1"/>
  <c r="T171" i="46" s="1"/>
  <c r="O139" i="46"/>
  <c r="S139" i="46" s="1"/>
  <c r="T139" i="46" s="1"/>
  <c r="O107" i="46"/>
  <c r="S107" i="46" s="1"/>
  <c r="T107" i="46" s="1"/>
  <c r="O49" i="46"/>
  <c r="S49" i="46" s="1"/>
  <c r="T49" i="46" s="1"/>
  <c r="O12" i="46"/>
  <c r="R12" i="46" s="1"/>
  <c r="O216" i="46"/>
  <c r="S216" i="46" s="1"/>
  <c r="T216" i="46" s="1"/>
  <c r="O152" i="46"/>
  <c r="S152" i="46" s="1"/>
  <c r="T152" i="46" s="1"/>
  <c r="O67" i="46"/>
  <c r="S67" i="46" s="1"/>
  <c r="T67" i="46" s="1"/>
  <c r="O133" i="46"/>
  <c r="S133" i="46" s="1"/>
  <c r="T133" i="46" s="1"/>
  <c r="O254" i="46"/>
  <c r="S254" i="46" s="1"/>
  <c r="T254" i="46" s="1"/>
  <c r="O138" i="46"/>
  <c r="S138" i="46" s="1"/>
  <c r="T138" i="46" s="1"/>
  <c r="O194" i="46"/>
  <c r="S194" i="46" s="1"/>
  <c r="T194" i="46" s="1"/>
  <c r="O130" i="46"/>
  <c r="S130" i="46" s="1"/>
  <c r="T130" i="46" s="1"/>
  <c r="O35" i="46"/>
  <c r="S35" i="46" s="1"/>
  <c r="T35" i="46" s="1"/>
  <c r="O239" i="46"/>
  <c r="S239" i="46" s="1"/>
  <c r="T239" i="46" s="1"/>
  <c r="O117" i="46"/>
  <c r="S117" i="46" s="1"/>
  <c r="T117" i="46" s="1"/>
  <c r="O238" i="46"/>
  <c r="S238" i="46" s="1"/>
  <c r="T238" i="46" s="1"/>
  <c r="O53" i="46"/>
  <c r="S53" i="46" s="1"/>
  <c r="T53" i="46" s="1"/>
  <c r="O229" i="46"/>
  <c r="S229" i="46" s="1"/>
  <c r="T229" i="46" s="1"/>
  <c r="O94" i="46"/>
  <c r="S94" i="46" s="1"/>
  <c r="T94" i="46" s="1"/>
  <c r="O78" i="46"/>
  <c r="S78" i="46" s="1"/>
  <c r="T78" i="46" s="1"/>
  <c r="O62" i="46"/>
  <c r="S62" i="46" s="1"/>
  <c r="T62" i="46" s="1"/>
  <c r="O46" i="46"/>
  <c r="S46" i="46" s="1"/>
  <c r="T46" i="46" s="1"/>
  <c r="O225" i="46"/>
  <c r="S225" i="46" s="1"/>
  <c r="T225" i="46" s="1"/>
  <c r="O193" i="46"/>
  <c r="S193" i="46" s="1"/>
  <c r="T193" i="46" s="1"/>
  <c r="O161" i="46"/>
  <c r="S161" i="46" s="1"/>
  <c r="T161" i="46" s="1"/>
  <c r="O129" i="46"/>
  <c r="S129" i="46" s="1"/>
  <c r="T129" i="46" s="1"/>
  <c r="O87" i="46"/>
  <c r="S87" i="46" s="1"/>
  <c r="T87" i="46" s="1"/>
  <c r="O34" i="46"/>
  <c r="S34" i="46" s="1"/>
  <c r="T34" i="46" s="1"/>
  <c r="O227" i="46"/>
  <c r="S227" i="46" s="1"/>
  <c r="T227" i="46" s="1"/>
  <c r="O92" i="46"/>
  <c r="S92" i="46" s="1"/>
  <c r="T92" i="46" s="1"/>
  <c r="O76" i="46"/>
  <c r="S76" i="46" s="1"/>
  <c r="T76" i="46" s="1"/>
  <c r="O60" i="46"/>
  <c r="S60" i="46" s="1"/>
  <c r="T60" i="46" s="1"/>
  <c r="O44" i="46"/>
  <c r="S44" i="46" s="1"/>
  <c r="T44" i="46" s="1"/>
  <c r="O256" i="46"/>
  <c r="S256" i="46" s="1"/>
  <c r="T256" i="46" s="1"/>
  <c r="O220" i="46"/>
  <c r="S220" i="46" s="1"/>
  <c r="T220" i="46" s="1"/>
  <c r="O188" i="46"/>
  <c r="S188" i="46" s="1"/>
  <c r="T188" i="46" s="1"/>
  <c r="O156" i="46"/>
  <c r="S156" i="46" s="1"/>
  <c r="T156" i="46" s="1"/>
  <c r="O124" i="46"/>
  <c r="S124" i="46" s="1"/>
  <c r="T124" i="46" s="1"/>
  <c r="O79" i="46"/>
  <c r="S79" i="46" s="1"/>
  <c r="T79" i="46" s="1"/>
  <c r="O29" i="46"/>
  <c r="S29" i="46" s="1"/>
  <c r="T29" i="46" s="1"/>
  <c r="O219" i="46"/>
  <c r="S219" i="46" s="1"/>
  <c r="T219" i="46" s="1"/>
  <c r="O187" i="46"/>
  <c r="S187" i="46" s="1"/>
  <c r="T187" i="46" s="1"/>
  <c r="O155" i="46"/>
  <c r="S155" i="46" s="1"/>
  <c r="T155" i="46" s="1"/>
  <c r="O123" i="46"/>
  <c r="S123" i="46" s="1"/>
  <c r="T123" i="46" s="1"/>
  <c r="O81" i="46"/>
  <c r="S81" i="46" s="1"/>
  <c r="T81" i="46" s="1"/>
  <c r="O28" i="46"/>
  <c r="S28" i="46" s="1"/>
  <c r="T28" i="46" s="1"/>
  <c r="O247" i="46"/>
  <c r="S247" i="46" s="1"/>
  <c r="T247" i="46" s="1"/>
  <c r="O184" i="46"/>
  <c r="S184" i="46" s="1"/>
  <c r="T184" i="46" s="1"/>
  <c r="O120" i="46"/>
  <c r="S120" i="46" s="1"/>
  <c r="T120" i="46" s="1"/>
  <c r="O25" i="46"/>
  <c r="O224" i="46"/>
  <c r="S224" i="46" s="1"/>
  <c r="T224" i="46" s="1"/>
  <c r="O33" i="46"/>
  <c r="S33" i="46" s="1"/>
  <c r="T33" i="46" s="1"/>
  <c r="O202" i="46"/>
  <c r="S202" i="46" s="1"/>
  <c r="T202" i="46" s="1"/>
  <c r="O101" i="46"/>
  <c r="S101" i="46" s="1"/>
  <c r="T101" i="46" s="1"/>
  <c r="O241" i="46"/>
  <c r="S241" i="46" s="1"/>
  <c r="T241" i="46" s="1"/>
  <c r="O162" i="46"/>
  <c r="S162" i="46" s="1"/>
  <c r="T162" i="46" s="1"/>
  <c r="O77" i="46"/>
  <c r="S77" i="46" s="1"/>
  <c r="T77" i="46" s="1"/>
  <c r="O165" i="46"/>
  <c r="S165" i="46" s="1"/>
  <c r="T165" i="46" s="1"/>
  <c r="O38" i="46"/>
  <c r="S38" i="46" s="1"/>
  <c r="T38" i="46" s="1"/>
  <c r="O186" i="46"/>
  <c r="S186" i="46" s="1"/>
  <c r="T186" i="46" s="1"/>
  <c r="O66" i="46"/>
  <c r="S66" i="46" s="1"/>
  <c r="T66" i="46" s="1"/>
  <c r="O169" i="46"/>
  <c r="S169" i="46" s="1"/>
  <c r="T169" i="46" s="1"/>
  <c r="O55" i="46"/>
  <c r="S55" i="46" s="1"/>
  <c r="T55" i="46" s="1"/>
  <c r="O198" i="46"/>
  <c r="S198" i="46" s="1"/>
  <c r="T198" i="46" s="1"/>
  <c r="O134" i="46"/>
  <c r="S134" i="46" s="1"/>
  <c r="T134" i="46" s="1"/>
  <c r="O39" i="46"/>
  <c r="S39" i="46" s="1"/>
  <c r="T39" i="46" s="1"/>
  <c r="O205" i="46"/>
  <c r="S205" i="46" s="1"/>
  <c r="T205" i="46" s="1"/>
  <c r="O51" i="46"/>
  <c r="S51" i="46" s="1"/>
  <c r="T51" i="46" s="1"/>
  <c r="O128" i="46"/>
  <c r="S128" i="46" s="1"/>
  <c r="T128" i="46" s="1"/>
  <c r="O127" i="46"/>
  <c r="S127" i="46" s="1"/>
  <c r="T127" i="46" s="1"/>
  <c r="O183" i="46"/>
  <c r="S183" i="46" s="1"/>
  <c r="T183" i="46" s="1"/>
  <c r="O24" i="46"/>
  <c r="O112" i="46"/>
  <c r="S112" i="46" s="1"/>
  <c r="T112" i="46" s="1"/>
  <c r="O32" i="46"/>
  <c r="S32" i="46" s="1"/>
  <c r="T32" i="46" s="1"/>
  <c r="O64" i="46"/>
  <c r="S64" i="46" s="1"/>
  <c r="T64" i="46" s="1"/>
  <c r="O164" i="46"/>
  <c r="S164" i="46" s="1"/>
  <c r="T164" i="46" s="1"/>
  <c r="O42" i="46"/>
  <c r="S42" i="46" s="1"/>
  <c r="T42" i="46" s="1"/>
  <c r="O195" i="46"/>
  <c r="S195" i="46" s="1"/>
  <c r="T195" i="46" s="1"/>
  <c r="O131" i="46"/>
  <c r="S131" i="46" s="1"/>
  <c r="T131" i="46" s="1"/>
  <c r="O36" i="46"/>
  <c r="S36" i="46" s="1"/>
  <c r="T36" i="46" s="1"/>
  <c r="O200" i="46"/>
  <c r="S200" i="46" s="1"/>
  <c r="T200" i="46" s="1"/>
  <c r="O41" i="46"/>
  <c r="S41" i="46" s="1"/>
  <c r="T41" i="46" s="1"/>
  <c r="O91" i="46"/>
  <c r="S91" i="46" s="1"/>
  <c r="T91" i="46" s="1"/>
  <c r="O122" i="46"/>
  <c r="S122" i="46" s="1"/>
  <c r="T122" i="46" s="1"/>
  <c r="O178" i="46"/>
  <c r="S178" i="46" s="1"/>
  <c r="T178" i="46" s="1"/>
  <c r="O19" i="46"/>
  <c r="R19" i="46" s="1"/>
  <c r="O59" i="46"/>
  <c r="S59" i="46" s="1"/>
  <c r="T59" i="46" s="1"/>
  <c r="O27" i="46"/>
  <c r="S27" i="46" s="1"/>
  <c r="T27" i="46" s="1"/>
  <c r="O233" i="46"/>
  <c r="S233" i="46" s="1"/>
  <c r="T233" i="46" s="1"/>
  <c r="O50" i="46"/>
  <c r="S50" i="46" s="1"/>
  <c r="T50" i="46" s="1"/>
  <c r="O145" i="46"/>
  <c r="S145" i="46" s="1"/>
  <c r="T145" i="46" s="1"/>
  <c r="O37" i="46"/>
  <c r="S37" i="46" s="1"/>
  <c r="T37" i="46" s="1"/>
  <c r="O190" i="46"/>
  <c r="S190" i="46" s="1"/>
  <c r="T190" i="46" s="1"/>
  <c r="O126" i="46"/>
  <c r="S126" i="46" s="1"/>
  <c r="T126" i="46" s="1"/>
  <c r="O31" i="46"/>
  <c r="S31" i="46" s="1"/>
  <c r="T31" i="46" s="1"/>
  <c r="O189" i="46"/>
  <c r="S189" i="46" s="1"/>
  <c r="T189" i="46" s="1"/>
  <c r="O30" i="46"/>
  <c r="S30" i="46" s="1"/>
  <c r="T30" i="46" s="1"/>
  <c r="O75" i="46"/>
  <c r="S75" i="46" s="1"/>
  <c r="T75" i="46" s="1"/>
  <c r="O111" i="46"/>
  <c r="S111" i="46" s="1"/>
  <c r="T111" i="46" s="1"/>
  <c r="O167" i="46"/>
  <c r="S167" i="46" s="1"/>
  <c r="T167" i="46" s="1"/>
  <c r="O43" i="46"/>
  <c r="S43" i="46" s="1"/>
  <c r="T43" i="46" s="1"/>
  <c r="O231" i="46"/>
  <c r="S231" i="46" s="1"/>
  <c r="T231" i="46" s="1"/>
  <c r="O48" i="46"/>
  <c r="S48" i="46" s="1"/>
  <c r="T48" i="46" s="1"/>
  <c r="O137" i="46"/>
  <c r="S137" i="46" s="1"/>
  <c r="T137" i="46" s="1"/>
  <c r="O18" i="46"/>
  <c r="O245" i="46"/>
  <c r="S245" i="46" s="1"/>
  <c r="T245" i="46" s="1"/>
  <c r="O174" i="46"/>
  <c r="S174" i="46" s="1"/>
  <c r="T174" i="46" s="1"/>
  <c r="O110" i="46"/>
  <c r="S110" i="46" s="1"/>
  <c r="T110" i="46" s="1"/>
  <c r="O15" i="46"/>
  <c r="R15" i="46" s="1"/>
  <c r="O157" i="46"/>
  <c r="S157" i="46" s="1"/>
  <c r="T157" i="46" s="1"/>
  <c r="O135" i="46"/>
  <c r="S135" i="46" s="1"/>
  <c r="T135" i="46" s="1"/>
  <c r="O244" i="46"/>
  <c r="S244" i="46" s="1"/>
  <c r="T244" i="46" s="1"/>
  <c r="O98" i="46"/>
  <c r="S98" i="46" s="1"/>
  <c r="T98" i="46" s="1"/>
  <c r="O235" i="46"/>
  <c r="S235" i="46" s="1"/>
  <c r="T235" i="46" s="1"/>
  <c r="O132" i="46"/>
  <c r="S132" i="46" s="1"/>
  <c r="T132" i="46" s="1"/>
  <c r="O237" i="46"/>
  <c r="S237" i="46" s="1"/>
  <c r="T237" i="46" s="1"/>
  <c r="O166" i="46"/>
  <c r="S166" i="46" s="1"/>
  <c r="T166" i="46" s="1"/>
  <c r="O105" i="46"/>
  <c r="S105" i="46" s="1"/>
  <c r="T105" i="46" s="1"/>
  <c r="O141" i="46"/>
  <c r="S141" i="46" s="1"/>
  <c r="T141" i="46" s="1"/>
  <c r="O249" i="46"/>
  <c r="S249" i="46" s="1"/>
  <c r="T249" i="46" s="1"/>
  <c r="O119" i="46"/>
  <c r="S119" i="46" s="1"/>
  <c r="T119" i="46" s="1"/>
  <c r="O213" i="46"/>
  <c r="S213" i="46" s="1"/>
  <c r="T213" i="46" s="1"/>
  <c r="O223" i="46"/>
  <c r="S223" i="46" s="1"/>
  <c r="T223" i="46" s="1"/>
  <c r="O82" i="46"/>
  <c r="S82" i="46" s="1"/>
  <c r="T82" i="46" s="1"/>
  <c r="O201" i="46"/>
  <c r="S201" i="46" s="1"/>
  <c r="T201" i="46" s="1"/>
  <c r="O103" i="46"/>
  <c r="S103" i="46" s="1"/>
  <c r="T103" i="46" s="1"/>
  <c r="O222" i="46"/>
  <c r="S222" i="46" s="1"/>
  <c r="T222" i="46" s="1"/>
  <c r="O158" i="46"/>
  <c r="S158" i="46" s="1"/>
  <c r="T158" i="46" s="1"/>
  <c r="O89" i="46"/>
  <c r="S89" i="46" s="1"/>
  <c r="T89" i="46" s="1"/>
  <c r="O252" i="46"/>
  <c r="S252" i="46" s="1"/>
  <c r="T252" i="46" s="1"/>
  <c r="O125" i="46"/>
  <c r="S125" i="46" s="1"/>
  <c r="T125" i="46" s="1"/>
  <c r="O234" i="46"/>
  <c r="S234" i="46" s="1"/>
  <c r="T234" i="46" s="1"/>
  <c r="O207" i="46"/>
  <c r="S207" i="46" s="1"/>
  <c r="T207" i="46" s="1"/>
  <c r="O246" i="46"/>
  <c r="S246" i="46" s="1"/>
  <c r="T246" i="46" s="1"/>
  <c r="O93" i="46"/>
  <c r="S93" i="46" s="1"/>
  <c r="T93" i="46" s="1"/>
  <c r="O192" i="46"/>
  <c r="S192" i="46" s="1"/>
  <c r="T192" i="46" s="1"/>
  <c r="O191" i="46"/>
  <c r="S191" i="46" s="1"/>
  <c r="T191" i="46" s="1"/>
  <c r="O221" i="46"/>
  <c r="S221" i="46" s="1"/>
  <c r="T221" i="46" s="1"/>
  <c r="O199" i="46"/>
  <c r="S199" i="46" s="1"/>
  <c r="T199" i="46" s="1"/>
  <c r="O232" i="46"/>
  <c r="S232" i="46" s="1"/>
  <c r="T232" i="46" s="1"/>
  <c r="O136" i="46"/>
  <c r="S136" i="46" s="1"/>
  <c r="T136" i="46" s="1"/>
  <c r="O114" i="46"/>
  <c r="S114" i="46" s="1"/>
  <c r="T114" i="46" s="1"/>
  <c r="O206" i="46"/>
  <c r="S206" i="46" s="1"/>
  <c r="T206" i="46" s="1"/>
  <c r="O83" i="46"/>
  <c r="S83" i="46" s="1"/>
  <c r="T83" i="46" s="1"/>
  <c r="O40" i="46"/>
  <c r="S40" i="46" s="1"/>
  <c r="T40" i="46" s="1"/>
  <c r="O230" i="46"/>
  <c r="S230" i="46" s="1"/>
  <c r="T230" i="46" s="1"/>
  <c r="O163" i="46"/>
  <c r="S163" i="46" s="1"/>
  <c r="T163" i="46" s="1"/>
  <c r="O255" i="46"/>
  <c r="S255" i="46" s="1"/>
  <c r="T255" i="46" s="1"/>
  <c r="O208" i="46"/>
  <c r="S208" i="46" s="1"/>
  <c r="T208" i="46" s="1"/>
  <c r="O96" i="46"/>
  <c r="S96" i="46" s="1"/>
  <c r="T96" i="46" s="1"/>
  <c r="O113" i="46"/>
  <c r="S113" i="46" s="1"/>
  <c r="T113" i="46" s="1"/>
  <c r="O97" i="46"/>
  <c r="S97" i="46" s="1"/>
  <c r="T97" i="46" s="1"/>
  <c r="O228" i="46"/>
  <c r="S228" i="46" s="1"/>
  <c r="T228" i="46" s="1"/>
  <c r="O218" i="46"/>
  <c r="S218" i="46" s="1"/>
  <c r="T218" i="46" s="1"/>
  <c r="O80" i="46"/>
  <c r="S80" i="46" s="1"/>
  <c r="T80" i="46" s="1"/>
  <c r="O95" i="46"/>
  <c r="S95" i="46" s="1"/>
  <c r="T95" i="46" s="1"/>
  <c r="O57" i="46"/>
  <c r="S57" i="46" s="1"/>
  <c r="T57" i="46" s="1"/>
  <c r="O143" i="46"/>
  <c r="S143" i="46" s="1"/>
  <c r="T143" i="46" s="1"/>
  <c r="O69" i="46"/>
  <c r="S69" i="46" s="1"/>
  <c r="T69" i="46" s="1"/>
  <c r="O176" i="46"/>
  <c r="S176" i="46" s="1"/>
  <c r="T176" i="46" s="1"/>
  <c r="O144" i="46"/>
  <c r="S144" i="46" s="1"/>
  <c r="T144" i="46" s="1"/>
  <c r="O142" i="46"/>
  <c r="S142" i="46" s="1"/>
  <c r="T142" i="46" s="1"/>
  <c r="O196" i="46"/>
  <c r="S196" i="46" s="1"/>
  <c r="T196" i="46" s="1"/>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s="1"/>
  <c r="M68" i="29"/>
  <c r="M69" i="29"/>
  <c r="M70" i="29"/>
  <c r="M71" i="29"/>
  <c r="M72" i="29"/>
  <c r="M73" i="29"/>
  <c r="M74" i="29"/>
  <c r="M80" i="29"/>
  <c r="M75" i="29"/>
  <c r="M76" i="29"/>
  <c r="M77" i="29"/>
  <c r="M79" i="29"/>
  <c r="M82" i="29"/>
  <c r="M83" i="29"/>
  <c r="M84" i="29"/>
  <c r="M85" i="29"/>
  <c r="M86" i="29"/>
  <c r="D86" i="22" s="1"/>
  <c r="M87" i="29"/>
  <c r="M88" i="29"/>
  <c r="M89" i="29"/>
  <c r="M90" i="29"/>
  <c r="M91" i="29"/>
  <c r="D91" i="22" s="1"/>
  <c r="M92" i="29"/>
  <c r="M93" i="29"/>
  <c r="M94" i="29"/>
  <c r="M95" i="29"/>
  <c r="D95" i="22" s="1"/>
  <c r="M96" i="29"/>
  <c r="M97" i="29"/>
  <c r="M98" i="29"/>
  <c r="M99" i="29"/>
  <c r="D99" i="22" s="1"/>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AW114"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AW84"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16" i="71" l="1"/>
  <c r="V16" i="71" s="1"/>
  <c r="W16" i="71" s="1"/>
  <c r="X16" i="71" s="1"/>
  <c r="R15" i="71"/>
  <c r="V15" i="71" s="1"/>
  <c r="W15" i="71" s="1"/>
  <c r="X15" i="71" s="1"/>
  <c r="R14" i="71"/>
  <c r="V14" i="71" s="1"/>
  <c r="W14" i="71" s="1"/>
  <c r="X14" i="71" s="1"/>
  <c r="R13" i="71"/>
  <c r="V13" i="71" s="1"/>
  <c r="W13" i="71" s="1"/>
  <c r="X13" i="71" s="1"/>
  <c r="AG66" i="57"/>
  <c r="X64" i="57"/>
  <c r="AB64" i="57" s="1"/>
  <c r="AD65" i="57"/>
  <c r="M67" i="53"/>
  <c r="AC67" i="53" s="1"/>
  <c r="O67" i="53"/>
  <c r="AP51" i="69"/>
  <c r="N51" i="69"/>
  <c r="U51" i="69" s="1"/>
  <c r="P11" i="11"/>
  <c r="AJ65" i="57"/>
  <c r="AE65" i="57"/>
  <c r="AF63" i="57"/>
  <c r="AA63" i="57"/>
  <c r="Q65" i="57"/>
  <c r="T65" i="57" s="1"/>
  <c r="R65" i="57"/>
  <c r="AQ65" i="57"/>
  <c r="AC65" i="57"/>
  <c r="M66" i="57"/>
  <c r="AK66" i="57" s="1"/>
  <c r="N67" i="53"/>
  <c r="AA65" i="53"/>
  <c r="AB65" i="53"/>
  <c r="C90" i="36"/>
  <c r="V25" i="46"/>
  <c r="X25" i="46" s="1"/>
  <c r="V24" i="46"/>
  <c r="X24" i="46" s="1"/>
  <c r="V23" i="46"/>
  <c r="X23" i="46" s="1"/>
  <c r="V22" i="46"/>
  <c r="X22" i="46" s="1"/>
  <c r="V21" i="46"/>
  <c r="X21" i="46" s="1"/>
  <c r="V20" i="46"/>
  <c r="V19" i="46"/>
  <c r="V18" i="46"/>
  <c r="V17" i="46"/>
  <c r="V15" i="46"/>
  <c r="C91" i="36"/>
  <c r="V173" i="46"/>
  <c r="X173" i="46" s="1"/>
  <c r="AF50" i="69"/>
  <c r="Q50" i="69"/>
  <c r="O67" i="57"/>
  <c r="P67" i="57"/>
  <c r="AC48" i="69"/>
  <c r="AD48" i="69" s="1"/>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V13" i="46"/>
  <c r="W13" i="46" s="1"/>
  <c r="S12" i="71"/>
  <c r="AB49" i="69"/>
  <c r="AG49" i="69"/>
  <c r="AO51" i="69"/>
  <c r="O52" i="69"/>
  <c r="V12" i="46"/>
  <c r="W12" i="46" s="1"/>
  <c r="AF65" i="53"/>
  <c r="AE66" i="53"/>
  <c r="Y79" i="46"/>
  <c r="Y143" i="46"/>
  <c r="Y232" i="46"/>
  <c r="Y235" i="46"/>
  <c r="Y48" i="46"/>
  <c r="Y91" i="46"/>
  <c r="Y164" i="46"/>
  <c r="Y205" i="46"/>
  <c r="Y124" i="46"/>
  <c r="Y227" i="46"/>
  <c r="Y193" i="46"/>
  <c r="Y194" i="46"/>
  <c r="Y216" i="46"/>
  <c r="Y209" i="46"/>
  <c r="Y160" i="46"/>
  <c r="Y197" i="46"/>
  <c r="Y150" i="46"/>
  <c r="Y153" i="46"/>
  <c r="Y69" i="46"/>
  <c r="Y190" i="46"/>
  <c r="Y186" i="46"/>
  <c r="Y118" i="46"/>
  <c r="Y196" i="46"/>
  <c r="Y57" i="46"/>
  <c r="Y96" i="46"/>
  <c r="Y207" i="46"/>
  <c r="Y103" i="46"/>
  <c r="Y141" i="46"/>
  <c r="Y231" i="46"/>
  <c r="Y111" i="46"/>
  <c r="Y37" i="46"/>
  <c r="Y41" i="46"/>
  <c r="Y165" i="46"/>
  <c r="Y224" i="46"/>
  <c r="Y155" i="46"/>
  <c r="Y156" i="46"/>
  <c r="Y225" i="46"/>
  <c r="Y68" i="46"/>
  <c r="Y243" i="46"/>
  <c r="Y154" i="46"/>
  <c r="Y65" i="46"/>
  <c r="Y63" i="46"/>
  <c r="Y88" i="46"/>
  <c r="Y182" i="46"/>
  <c r="Y185" i="46"/>
  <c r="Y51" i="46"/>
  <c r="Y152" i="46"/>
  <c r="Y83" i="46"/>
  <c r="Y201" i="46"/>
  <c r="Y244" i="46"/>
  <c r="Y174" i="46"/>
  <c r="Y75" i="46"/>
  <c r="Y145" i="46"/>
  <c r="Y134" i="46"/>
  <c r="Y187" i="46"/>
  <c r="Y188" i="46"/>
  <c r="Y46" i="46"/>
  <c r="Y49" i="46"/>
  <c r="Y47" i="46"/>
  <c r="Y84" i="46"/>
  <c r="Y115" i="46"/>
  <c r="Y116" i="46"/>
  <c r="Y61" i="46"/>
  <c r="Y109" i="46"/>
  <c r="Y214" i="46"/>
  <c r="Y217" i="46"/>
  <c r="Y97" i="46"/>
  <c r="Y132" i="46"/>
  <c r="Y202" i="46"/>
  <c r="Y161" i="46"/>
  <c r="Y56" i="46"/>
  <c r="Y142" i="46"/>
  <c r="Y80" i="46"/>
  <c r="Y208" i="46"/>
  <c r="Y125" i="46"/>
  <c r="Y223" i="46"/>
  <c r="Y105" i="46"/>
  <c r="Y98" i="46"/>
  <c r="Y64" i="46"/>
  <c r="Y198" i="46"/>
  <c r="Y77" i="46"/>
  <c r="Y220" i="46"/>
  <c r="Y238" i="46"/>
  <c r="Y107" i="46"/>
  <c r="Y108" i="46"/>
  <c r="Y100" i="46"/>
  <c r="Y70" i="46"/>
  <c r="Y149" i="46"/>
  <c r="Y181" i="46"/>
  <c r="Y147" i="46"/>
  <c r="Y253" i="46"/>
  <c r="Y157" i="46"/>
  <c r="Y42" i="46"/>
  <c r="Y106" i="46"/>
  <c r="Y221" i="46"/>
  <c r="Y213" i="46"/>
  <c r="Y131" i="46"/>
  <c r="Y183" i="46"/>
  <c r="Y256" i="46"/>
  <c r="Y44" i="46"/>
  <c r="Y78" i="46"/>
  <c r="Y117" i="46"/>
  <c r="Y133" i="46"/>
  <c r="Y139" i="46"/>
  <c r="Y140" i="46"/>
  <c r="Y86" i="46"/>
  <c r="Y179" i="46"/>
  <c r="Y215" i="46"/>
  <c r="Y236" i="46"/>
  <c r="Y58" i="46"/>
  <c r="Y222" i="46"/>
  <c r="Y177" i="46"/>
  <c r="Y226" i="46"/>
  <c r="Y121" i="46"/>
  <c r="Y218" i="46"/>
  <c r="Y163" i="46"/>
  <c r="Y191" i="46"/>
  <c r="Y89" i="46"/>
  <c r="Y82" i="46"/>
  <c r="Y119" i="46"/>
  <c r="Y237" i="46"/>
  <c r="Y137" i="46"/>
  <c r="Y50" i="46"/>
  <c r="Y195" i="46"/>
  <c r="Y127" i="46"/>
  <c r="Y55" i="46"/>
  <c r="Y241" i="46"/>
  <c r="Y247" i="46"/>
  <c r="Y60" i="46"/>
  <c r="Y87" i="46"/>
  <c r="Y94" i="46"/>
  <c r="Y239" i="46"/>
  <c r="Y171" i="46"/>
  <c r="Y172" i="46"/>
  <c r="Y102" i="46"/>
  <c r="Y45" i="46"/>
  <c r="Y99" i="46"/>
  <c r="Y211" i="46"/>
  <c r="Y212" i="46"/>
  <c r="Y85" i="46"/>
  <c r="Y74" i="46"/>
  <c r="Y249" i="46"/>
  <c r="Y122" i="46"/>
  <c r="Y81" i="46"/>
  <c r="Y242" i="46"/>
  <c r="Y176" i="46"/>
  <c r="Y228" i="46"/>
  <c r="Y230" i="46"/>
  <c r="Y114" i="46"/>
  <c r="Y192" i="46"/>
  <c r="Y158" i="46"/>
  <c r="Y43" i="46"/>
  <c r="Y126" i="46"/>
  <c r="Y233" i="46"/>
  <c r="Y178" i="46"/>
  <c r="Y128" i="46"/>
  <c r="Y169" i="46"/>
  <c r="Y101" i="46"/>
  <c r="Y76" i="46"/>
  <c r="Y129" i="46"/>
  <c r="Y229" i="46"/>
  <c r="Y67" i="46"/>
  <c r="Y203" i="46"/>
  <c r="Y204" i="46"/>
  <c r="Y146" i="46"/>
  <c r="Y168" i="46"/>
  <c r="Y250" i="46"/>
  <c r="Y248" i="46"/>
  <c r="Y175" i="46"/>
  <c r="Y159" i="46"/>
  <c r="Y73" i="46"/>
  <c r="Y71" i="46"/>
  <c r="Y90" i="46"/>
  <c r="R66" i="53"/>
  <c r="X66" i="53" s="1"/>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40" i="46"/>
  <c r="Y110" i="46"/>
  <c r="Y39" i="46"/>
  <c r="Y66" i="46"/>
  <c r="Y170" i="46"/>
  <c r="Y95" i="46"/>
  <c r="Y234" i="46"/>
  <c r="Y200" i="46"/>
  <c r="Y112" i="46"/>
  <c r="Y53" i="46"/>
  <c r="Y138" i="46"/>
  <c r="Y54" i="46"/>
  <c r="Y104" i="46"/>
  <c r="Y206" i="46"/>
  <c r="Y199" i="46"/>
  <c r="Y135" i="46"/>
  <c r="Y245" i="46"/>
  <c r="Y120" i="46"/>
  <c r="Y219" i="46"/>
  <c r="Y62" i="46"/>
  <c r="Y148" i="46"/>
  <c r="Y151" i="46"/>
  <c r="Y251" i="46"/>
  <c r="Y252" i="46"/>
  <c r="Y166" i="46"/>
  <c r="Y189" i="46"/>
  <c r="Y59" i="46"/>
  <c r="Y162" i="46"/>
  <c r="Y184" i="46"/>
  <c r="Y180" i="46"/>
  <c r="Y144" i="46"/>
  <c r="Y136" i="46"/>
  <c r="Y93" i="46"/>
  <c r="Y92" i="46"/>
  <c r="Y130" i="46"/>
  <c r="Y240" i="46"/>
  <c r="Y113" i="46"/>
  <c r="Y246" i="46"/>
  <c r="Y167" i="46"/>
  <c r="Y38" i="46"/>
  <c r="Y123" i="46"/>
  <c r="Y52" i="46"/>
  <c r="Y72" i="46"/>
  <c r="AY50" i="69"/>
  <c r="L67" i="57"/>
  <c r="AG66" i="53"/>
  <c r="AH66" i="53"/>
  <c r="AT66" i="53"/>
  <c r="N67" i="57"/>
  <c r="G67" i="53"/>
  <c r="AH50" i="69"/>
  <c r="AD66" i="53"/>
  <c r="D17" i="22"/>
  <c r="Q66" i="53"/>
  <c r="H67" i="53"/>
  <c r="C67" i="53"/>
  <c r="E67" i="53"/>
  <c r="J67" i="53"/>
  <c r="I67" i="53"/>
  <c r="P67" i="53"/>
  <c r="AK66" i="52" a="1"/>
  <c r="AK66" i="52" s="1"/>
  <c r="B68" i="53" s="1"/>
  <c r="L67" i="53"/>
  <c r="F67" i="53"/>
  <c r="K67" i="53"/>
  <c r="D67" i="53"/>
  <c r="L117" i="22"/>
  <c r="D31" i="22"/>
  <c r="D14" i="22"/>
  <c r="D67" i="57"/>
  <c r="K67" i="57"/>
  <c r="I67" i="57"/>
  <c r="H67" i="57"/>
  <c r="G67" i="57"/>
  <c r="E67" i="57"/>
  <c r="C67" i="57"/>
  <c r="F67" i="57"/>
  <c r="J67" i="57"/>
  <c r="AN66" i="55" a="1"/>
  <c r="AN66" i="55" s="1"/>
  <c r="B68" i="57" s="1"/>
  <c r="R50" i="69"/>
  <c r="S50" i="69" s="1"/>
  <c r="Y50" i="69" s="1"/>
  <c r="AE50" i="69"/>
  <c r="C52" i="69"/>
  <c r="P52" i="69" s="1"/>
  <c r="AR52" i="67" a="1"/>
  <c r="AR52" i="67" s="1"/>
  <c r="B53" i="69"/>
  <c r="L53" i="69" s="1"/>
  <c r="D51" i="69"/>
  <c r="E51" i="69" s="1"/>
  <c r="F51" i="69" s="1"/>
  <c r="G51" i="69" s="1"/>
  <c r="H51" i="69" s="1"/>
  <c r="I51" i="69" s="1"/>
  <c r="J51" i="69" s="1"/>
  <c r="K51" i="69" s="1"/>
  <c r="M51" i="69" s="1"/>
  <c r="D70" i="22"/>
  <c r="AK27" i="22"/>
  <c r="C65" i="36" s="1"/>
  <c r="AK24" i="22"/>
  <c r="C62" i="36" s="1"/>
  <c r="AK23" i="22"/>
  <c r="C61" i="36" s="1"/>
  <c r="AK22" i="22"/>
  <c r="C60" i="36" s="1"/>
  <c r="AK28" i="22"/>
  <c r="C66" i="36" s="1"/>
  <c r="AK21" i="22"/>
  <c r="C59" i="36" s="1"/>
  <c r="C64" i="36"/>
  <c r="AK25" i="22"/>
  <c r="C63" i="36" s="1"/>
  <c r="AK8" i="22"/>
  <c r="AK7" i="22"/>
  <c r="AW87" i="22"/>
  <c r="AK6" i="22"/>
  <c r="AK5" i="22"/>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s="1"/>
  <c r="W20" i="46" l="1"/>
  <c r="X20" i="46" s="1"/>
  <c r="W19" i="46"/>
  <c r="X19" i="46" s="1"/>
  <c r="W18" i="46"/>
  <c r="X18" i="46" s="1"/>
  <c r="W17" i="46"/>
  <c r="X17" i="46" s="1"/>
  <c r="S15" i="71"/>
  <c r="S13" i="71"/>
  <c r="T13" i="71" s="1"/>
  <c r="AB13" i="71" s="1"/>
  <c r="X18" i="22" s="1"/>
  <c r="S14" i="71"/>
  <c r="S16" i="71"/>
  <c r="T16" i="71" s="1"/>
  <c r="AB16" i="71" s="1"/>
  <c r="W15" i="46"/>
  <c r="X15" i="46" s="1"/>
  <c r="AC11" i="11"/>
  <c r="X65" i="57"/>
  <c r="AB65" i="57" s="1"/>
  <c r="AG67" i="57"/>
  <c r="AA64" i="57"/>
  <c r="M68" i="53"/>
  <c r="AC68" i="53" s="1"/>
  <c r="O68" i="53"/>
  <c r="AP52" i="69"/>
  <c r="N52" i="69"/>
  <c r="U52" i="69" s="1"/>
  <c r="AF64" i="57"/>
  <c r="R66" i="57"/>
  <c r="AQ66" i="57"/>
  <c r="AD66" i="57"/>
  <c r="AJ66" i="57"/>
  <c r="Q66" i="57"/>
  <c r="T66" i="57" s="1"/>
  <c r="AC66" i="57"/>
  <c r="AE66" i="57"/>
  <c r="M67" i="57"/>
  <c r="AK67" i="57" s="1"/>
  <c r="N68" i="53"/>
  <c r="AA66" i="53"/>
  <c r="AB66" i="53"/>
  <c r="S25" i="46"/>
  <c r="T25" i="46" s="1"/>
  <c r="S24" i="46"/>
  <c r="T24" i="46" s="1"/>
  <c r="S23" i="46"/>
  <c r="T23" i="46" s="1"/>
  <c r="S22" i="46"/>
  <c r="T22" i="46" s="1"/>
  <c r="S21" i="46"/>
  <c r="T21" i="46" s="1"/>
  <c r="S20" i="46"/>
  <c r="T20" i="46" s="1"/>
  <c r="S19" i="46"/>
  <c r="T19" i="46" s="1"/>
  <c r="S18" i="46"/>
  <c r="T18" i="46" s="1"/>
  <c r="S17" i="46"/>
  <c r="T17" i="46" s="1"/>
  <c r="V16" i="46"/>
  <c r="S15" i="46"/>
  <c r="T15" i="46" s="1"/>
  <c r="V14" i="46"/>
  <c r="S173" i="46"/>
  <c r="T173" i="46" s="1"/>
  <c r="Y173" i="46" s="1"/>
  <c r="S11" i="71"/>
  <c r="T11" i="71" s="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s="1"/>
  <c r="T204" i="71"/>
  <c r="T157" i="71"/>
  <c r="T15" i="71"/>
  <c r="AB15" i="71" s="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P68" i="57"/>
  <c r="X13" i="46"/>
  <c r="S13" i="46"/>
  <c r="T13" i="46" s="1"/>
  <c r="S16" i="46"/>
  <c r="T16" i="46" s="1"/>
  <c r="AC49" i="69"/>
  <c r="AD49" i="69" s="1"/>
  <c r="V27" i="71"/>
  <c r="S27" i="71"/>
  <c r="V12" i="71"/>
  <c r="W12" i="71" s="1"/>
  <c r="X12" i="71" s="1"/>
  <c r="T12" i="71"/>
  <c r="AB50" i="69"/>
  <c r="AG50" i="69"/>
  <c r="O53" i="69"/>
  <c r="AO52" i="69"/>
  <c r="S14" i="46"/>
  <c r="T14" i="46" s="1"/>
  <c r="S12" i="46"/>
  <c r="T12" i="46" s="1"/>
  <c r="AE67" i="53"/>
  <c r="AF66" i="53"/>
  <c r="Y210" i="46"/>
  <c r="R67" i="53"/>
  <c r="X67" i="53" s="1"/>
  <c r="AQ127" i="11"/>
  <c r="Y255" i="46"/>
  <c r="Y254" i="46"/>
  <c r="AY51" i="69"/>
  <c r="L68" i="57"/>
  <c r="AG67" i="53"/>
  <c r="AH67" i="53"/>
  <c r="AT67" i="53"/>
  <c r="N68" i="57"/>
  <c r="H68" i="53"/>
  <c r="AH51" i="69"/>
  <c r="Q67" i="53"/>
  <c r="AD67" i="53"/>
  <c r="C68" i="53"/>
  <c r="P68" i="53"/>
  <c r="E68" i="53"/>
  <c r="G68" i="53"/>
  <c r="L68" i="53"/>
  <c r="AK67" i="52" a="1"/>
  <c r="AK67" i="52" s="1"/>
  <c r="B69" i="53" s="1"/>
  <c r="I68" i="53"/>
  <c r="K68" i="53"/>
  <c r="F68" i="53"/>
  <c r="J68" i="53"/>
  <c r="D68" i="53"/>
  <c r="F68" i="57"/>
  <c r="K68" i="57"/>
  <c r="I68" i="57"/>
  <c r="C68" i="57"/>
  <c r="D68" i="57"/>
  <c r="G68" i="57"/>
  <c r="E68" i="57"/>
  <c r="J68" i="57"/>
  <c r="H68" i="57"/>
  <c r="AN67" i="55" a="1"/>
  <c r="AN67" i="55" s="1"/>
  <c r="B69" i="57" s="1"/>
  <c r="L130" i="22"/>
  <c r="R51" i="69"/>
  <c r="S51" i="69" s="1"/>
  <c r="Y51" i="69" s="1"/>
  <c r="AE51" i="69"/>
  <c r="C53" i="69"/>
  <c r="P53" i="69" s="1"/>
  <c r="AR53" i="67" a="1"/>
  <c r="AR53" i="67" s="1"/>
  <c r="B54" i="69"/>
  <c r="L54" i="69" s="1"/>
  <c r="D52" i="69"/>
  <c r="E52" i="69" s="1"/>
  <c r="F52" i="69" s="1"/>
  <c r="G52" i="69" s="1"/>
  <c r="H52" i="69" s="1"/>
  <c r="I52" i="69" s="1"/>
  <c r="J52" i="69" s="1"/>
  <c r="K52" i="69" s="1"/>
  <c r="M52" i="69" s="1"/>
  <c r="AB12" i="71" l="1"/>
  <c r="X135" i="22" s="1"/>
  <c r="W16" i="46"/>
  <c r="X16" i="46" s="1"/>
  <c r="Y16" i="46" s="1"/>
  <c r="L107" i="22" s="1"/>
  <c r="W14" i="46"/>
  <c r="X14" i="46" s="1"/>
  <c r="Y14" i="46" s="1"/>
  <c r="X32" i="22"/>
  <c r="X87" i="22"/>
  <c r="AD11" i="11"/>
  <c r="AG68" i="57"/>
  <c r="X66" i="57"/>
  <c r="AB66" i="57" s="1"/>
  <c r="AA65" i="57"/>
  <c r="M69" i="53"/>
  <c r="AC69" i="53" s="1"/>
  <c r="O69" i="53"/>
  <c r="AP53" i="69"/>
  <c r="N53" i="69"/>
  <c r="U53" i="69" s="1"/>
  <c r="Q67" i="57"/>
  <c r="T67" i="57" s="1"/>
  <c r="AF65" i="57"/>
  <c r="AD67" i="57"/>
  <c r="AE67" i="57"/>
  <c r="R67" i="57"/>
  <c r="AQ67" i="57"/>
  <c r="AJ67" i="57"/>
  <c r="AC67" i="57"/>
  <c r="M68" i="57"/>
  <c r="AC68" i="57" s="1"/>
  <c r="Z11" i="59"/>
  <c r="N69" i="53"/>
  <c r="AA67" i="53"/>
  <c r="AB67" i="53"/>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P69" i="57"/>
  <c r="AC50" i="69"/>
  <c r="AD50" i="69" s="1"/>
  <c r="O2" i="71"/>
  <c r="AA12" i="71"/>
  <c r="AB51" i="69"/>
  <c r="AG51" i="69"/>
  <c r="O54" i="69"/>
  <c r="AO53" i="69"/>
  <c r="AE68" i="53"/>
  <c r="AF67" i="53"/>
  <c r="Y32" i="46"/>
  <c r="Y17" i="46"/>
  <c r="L109" i="22" s="1"/>
  <c r="Y33" i="46"/>
  <c r="Y30" i="46"/>
  <c r="Y26" i="46"/>
  <c r="Y20" i="46"/>
  <c r="L106" i="22" s="1"/>
  <c r="Y29" i="46"/>
  <c r="Y36" i="46"/>
  <c r="Y27" i="46"/>
  <c r="Y28" i="46"/>
  <c r="Y34" i="46"/>
  <c r="Y35" i="46"/>
  <c r="Y19" i="46"/>
  <c r="Y25" i="46"/>
  <c r="Y22" i="46"/>
  <c r="L113" i="22" s="1"/>
  <c r="Y31" i="46"/>
  <c r="Y23" i="46"/>
  <c r="Y18" i="46"/>
  <c r="Y24" i="46"/>
  <c r="Y21" i="46"/>
  <c r="R68" i="53"/>
  <c r="X68" i="53" s="1"/>
  <c r="L115" i="22"/>
  <c r="L119" i="22"/>
  <c r="Y15" i="46"/>
  <c r="Y12" i="46"/>
  <c r="Y13" i="46"/>
  <c r="AY52" i="69"/>
  <c r="L69" i="57"/>
  <c r="AG68" i="53"/>
  <c r="AH68" i="53"/>
  <c r="AT68" i="53"/>
  <c r="N69" i="57"/>
  <c r="C69" i="53"/>
  <c r="AH52" i="69"/>
  <c r="Q68" i="53"/>
  <c r="AD68" i="53"/>
  <c r="P69" i="53"/>
  <c r="L69" i="53"/>
  <c r="I69" i="53"/>
  <c r="E69" i="53"/>
  <c r="F69" i="53"/>
  <c r="H69" i="53"/>
  <c r="K69" i="53"/>
  <c r="G69" i="53"/>
  <c r="J69" i="53"/>
  <c r="D69" i="53"/>
  <c r="AK68" i="52" a="1"/>
  <c r="AK68" i="52" s="1"/>
  <c r="B70" i="53" s="1"/>
  <c r="I69" i="57"/>
  <c r="E69" i="57"/>
  <c r="D69" i="57"/>
  <c r="C69" i="57"/>
  <c r="K69" i="57"/>
  <c r="H69" i="57"/>
  <c r="G69" i="57"/>
  <c r="J69" i="57"/>
  <c r="F69" i="57"/>
  <c r="AN68" i="55" a="1"/>
  <c r="AN68" i="55" s="1"/>
  <c r="B70" i="57" s="1"/>
  <c r="AR54" i="67" a="1"/>
  <c r="AR54" i="67" s="1"/>
  <c r="B55" i="69"/>
  <c r="L55" i="69" s="1"/>
  <c r="D53" i="69"/>
  <c r="E53" i="69" s="1"/>
  <c r="F53" i="69" s="1"/>
  <c r="G53" i="69" s="1"/>
  <c r="H53" i="69" s="1"/>
  <c r="I53" i="69" s="1"/>
  <c r="J53" i="69" s="1"/>
  <c r="K53" i="69" s="1"/>
  <c r="M53" i="69" s="1"/>
  <c r="C54" i="69"/>
  <c r="P54" i="69" s="1"/>
  <c r="R52" i="69"/>
  <c r="S52" i="69" s="1"/>
  <c r="Y52" i="69" s="1"/>
  <c r="AE52" i="69"/>
  <c r="AA66" i="57" l="1"/>
  <c r="AF66" i="57"/>
  <c r="AB52" i="69"/>
  <c r="AC52" i="69" s="1"/>
  <c r="AD52" i="69" s="1"/>
  <c r="AG69" i="57"/>
  <c r="X67" i="57"/>
  <c r="AB67" i="57" s="1"/>
  <c r="M70" i="53"/>
  <c r="AC70" i="53" s="1"/>
  <c r="O70" i="53"/>
  <c r="T30" i="22"/>
  <c r="AP54" i="69"/>
  <c r="N54" i="69"/>
  <c r="U54" i="69" s="1"/>
  <c r="R68" i="57"/>
  <c r="AQ68" i="57"/>
  <c r="AK68" i="57"/>
  <c r="AD68" i="57"/>
  <c r="AJ68" i="57"/>
  <c r="AE68" i="57"/>
  <c r="M69" i="57"/>
  <c r="AK69" i="57" s="1"/>
  <c r="Q68" i="57"/>
  <c r="T68" i="57" s="1"/>
  <c r="N70" i="53"/>
  <c r="AA68" i="53"/>
  <c r="AB68" i="53"/>
  <c r="W11" i="71"/>
  <c r="X11" i="71" s="1"/>
  <c r="AB11" i="71" s="1"/>
  <c r="L103" i="22"/>
  <c r="AA27" i="71"/>
  <c r="AF53" i="69"/>
  <c r="Q53" i="69"/>
  <c r="O70" i="57"/>
  <c r="P70" i="57"/>
  <c r="AC51" i="69"/>
  <c r="AD51" i="69" s="1"/>
  <c r="AO54" i="69"/>
  <c r="AG52" i="69"/>
  <c r="O55" i="69"/>
  <c r="AF68" i="53"/>
  <c r="AE69" i="53"/>
  <c r="R69" i="53"/>
  <c r="X69" i="53" s="1"/>
  <c r="AY53" i="69"/>
  <c r="L70" i="57"/>
  <c r="AA15" i="71"/>
  <c r="AH69" i="53"/>
  <c r="AT69" i="53"/>
  <c r="AG69" i="53"/>
  <c r="N70" i="57"/>
  <c r="P70" i="53"/>
  <c r="AH53" i="69"/>
  <c r="AD69" i="53"/>
  <c r="Q69" i="53"/>
  <c r="C70" i="53"/>
  <c r="D70" i="53"/>
  <c r="J70" i="53"/>
  <c r="E70" i="53"/>
  <c r="H70" i="53"/>
  <c r="F70" i="53"/>
  <c r="G70" i="53"/>
  <c r="I70" i="53"/>
  <c r="L70" i="53"/>
  <c r="AK69" i="52" a="1"/>
  <c r="AK69" i="52" s="1"/>
  <c r="B71" i="53" s="1"/>
  <c r="K70" i="53"/>
  <c r="F70" i="57"/>
  <c r="E70" i="57"/>
  <c r="H70" i="57"/>
  <c r="J70" i="57"/>
  <c r="D70" i="57"/>
  <c r="I70" i="57"/>
  <c r="C70" i="57"/>
  <c r="K70" i="57"/>
  <c r="G70" i="57"/>
  <c r="AN69" i="55" a="1"/>
  <c r="AN69" i="55" s="1"/>
  <c r="B71" i="57" s="1"/>
  <c r="D54" i="69"/>
  <c r="E54" i="69" s="1"/>
  <c r="F54" i="69" s="1"/>
  <c r="G54" i="69" s="1"/>
  <c r="H54" i="69" s="1"/>
  <c r="I54" i="69" s="1"/>
  <c r="J54" i="69" s="1"/>
  <c r="K54" i="69" s="1"/>
  <c r="M54" i="69" s="1"/>
  <c r="R53" i="69"/>
  <c r="S53" i="69" s="1"/>
  <c r="Y53" i="69" s="1"/>
  <c r="AE53" i="69"/>
  <c r="C55" i="69"/>
  <c r="P55" i="69" s="1"/>
  <c r="AR55" i="67" a="1"/>
  <c r="AR55" i="67" s="1"/>
  <c r="B56" i="69"/>
  <c r="L56" i="69" s="1"/>
  <c r="AK258" i="59"/>
  <c r="AJ258" i="59"/>
  <c r="AK257" i="59"/>
  <c r="AJ257" i="59"/>
  <c r="AK256" i="59"/>
  <c r="AJ256" i="59"/>
  <c r="AK255" i="59"/>
  <c r="AJ255" i="59"/>
  <c r="AG255" i="59"/>
  <c r="AK254" i="59"/>
  <c r="AJ254" i="59"/>
  <c r="AK253" i="59"/>
  <c r="AJ253" i="59"/>
  <c r="AK252" i="59"/>
  <c r="AJ252" i="59"/>
  <c r="AK251" i="59"/>
  <c r="AJ251" i="59"/>
  <c r="AG251" i="59"/>
  <c r="AH251" i="59" s="1"/>
  <c r="AK250" i="59"/>
  <c r="AJ250" i="59"/>
  <c r="AK249" i="59"/>
  <c r="AJ249" i="59"/>
  <c r="AK248" i="59"/>
  <c r="AJ248" i="59"/>
  <c r="AK247" i="59"/>
  <c r="AJ247" i="59"/>
  <c r="AG247" i="59"/>
  <c r="AH247" i="59" s="1"/>
  <c r="AK246" i="59"/>
  <c r="AJ246" i="59"/>
  <c r="AK245" i="59"/>
  <c r="AJ245" i="59"/>
  <c r="AK244" i="59"/>
  <c r="AJ244" i="59"/>
  <c r="AK243" i="59"/>
  <c r="AJ243" i="59"/>
  <c r="AG243" i="59"/>
  <c r="AH243" i="59" s="1"/>
  <c r="AK242" i="59"/>
  <c r="AJ242" i="59"/>
  <c r="AK241" i="59"/>
  <c r="AJ241" i="59"/>
  <c r="AK240" i="59"/>
  <c r="AJ240" i="59"/>
  <c r="AK239" i="59"/>
  <c r="AJ239" i="59"/>
  <c r="AG239" i="59"/>
  <c r="AH239" i="59" s="1"/>
  <c r="AK238" i="59"/>
  <c r="AJ238" i="59"/>
  <c r="AK237" i="59"/>
  <c r="AJ237" i="59"/>
  <c r="AK236" i="59"/>
  <c r="AJ236" i="59"/>
  <c r="AK235" i="59"/>
  <c r="AJ235" i="59"/>
  <c r="AG235" i="59"/>
  <c r="AH235" i="59" s="1"/>
  <c r="AK234" i="59"/>
  <c r="AJ234" i="59"/>
  <c r="AK233" i="59"/>
  <c r="AJ233" i="59"/>
  <c r="AK232" i="59"/>
  <c r="AJ232" i="59"/>
  <c r="AK231" i="59"/>
  <c r="AJ231" i="59"/>
  <c r="AG231" i="59"/>
  <c r="AH231" i="59" s="1"/>
  <c r="AK230" i="59"/>
  <c r="AJ230" i="59"/>
  <c r="AK229" i="59"/>
  <c r="AJ229" i="59"/>
  <c r="AK228" i="59"/>
  <c r="AJ228" i="59"/>
  <c r="AK227" i="59"/>
  <c r="AJ227" i="59"/>
  <c r="AG227" i="59"/>
  <c r="AH227" i="59" s="1"/>
  <c r="AK226" i="59"/>
  <c r="AJ226" i="59"/>
  <c r="AK225" i="59"/>
  <c r="AJ225" i="59"/>
  <c r="AK224" i="59"/>
  <c r="AJ224" i="59"/>
  <c r="AG224" i="59"/>
  <c r="AH224" i="59" s="1"/>
  <c r="AK223" i="59"/>
  <c r="AJ223" i="59"/>
  <c r="AG223" i="59"/>
  <c r="AH223" i="59" s="1"/>
  <c r="AK222" i="59"/>
  <c r="AJ222" i="59"/>
  <c r="AK221" i="59"/>
  <c r="AJ221" i="59"/>
  <c r="AK220" i="59"/>
  <c r="AJ220" i="59"/>
  <c r="AG220" i="59"/>
  <c r="AH220" i="59" s="1"/>
  <c r="AK219" i="59"/>
  <c r="AJ219" i="59"/>
  <c r="AG219" i="59"/>
  <c r="AH219" i="59" s="1"/>
  <c r="AK218" i="59"/>
  <c r="AJ218" i="59"/>
  <c r="AK217" i="59"/>
  <c r="AJ217" i="59"/>
  <c r="AK216" i="59"/>
  <c r="AJ216" i="59"/>
  <c r="AK215" i="59"/>
  <c r="AJ215" i="59"/>
  <c r="AG215" i="59"/>
  <c r="AH215" i="59" s="1"/>
  <c r="AK214" i="59"/>
  <c r="AJ214" i="59"/>
  <c r="AK213" i="59"/>
  <c r="AJ213" i="59"/>
  <c r="AK212" i="59"/>
  <c r="AJ212" i="59"/>
  <c r="AK211" i="59"/>
  <c r="AJ211" i="59"/>
  <c r="AG211" i="59"/>
  <c r="AH211" i="59" s="1"/>
  <c r="AK210" i="59"/>
  <c r="AJ210" i="59"/>
  <c r="AK209" i="59"/>
  <c r="AJ209" i="59"/>
  <c r="AK208" i="59"/>
  <c r="AJ208" i="59"/>
  <c r="AG208" i="59"/>
  <c r="AH208" i="59" s="1"/>
  <c r="AK207" i="59"/>
  <c r="AJ207" i="59"/>
  <c r="AG207" i="59"/>
  <c r="AH207" i="59" s="1"/>
  <c r="AK206" i="59"/>
  <c r="AJ206" i="59"/>
  <c r="AK205" i="59"/>
  <c r="AJ205" i="59"/>
  <c r="AK204" i="59"/>
  <c r="AJ204" i="59"/>
  <c r="AG204" i="59"/>
  <c r="AH204" i="59" s="1"/>
  <c r="AK203" i="59"/>
  <c r="AJ203" i="59"/>
  <c r="AK202" i="59"/>
  <c r="AJ202" i="59"/>
  <c r="AK201" i="59"/>
  <c r="AJ201" i="59"/>
  <c r="AK200" i="59"/>
  <c r="AJ200" i="59"/>
  <c r="AK199" i="59"/>
  <c r="AJ199" i="59"/>
  <c r="AG199" i="59"/>
  <c r="AH199" i="59" s="1"/>
  <c r="AK198" i="59"/>
  <c r="AJ198" i="59"/>
  <c r="AK197" i="59"/>
  <c r="AJ197" i="59"/>
  <c r="AK196" i="59"/>
  <c r="AJ196" i="59"/>
  <c r="AK195" i="59"/>
  <c r="AJ195" i="59"/>
  <c r="AG195" i="59"/>
  <c r="AH195" i="59" s="1"/>
  <c r="AK194" i="59"/>
  <c r="AJ194" i="59"/>
  <c r="AK193" i="59"/>
  <c r="AJ193" i="59"/>
  <c r="AK192" i="59"/>
  <c r="AJ192" i="59"/>
  <c r="AK191" i="59"/>
  <c r="AJ191" i="59"/>
  <c r="AG191" i="59"/>
  <c r="AH191" i="59" s="1"/>
  <c r="AK190" i="59"/>
  <c r="AJ190" i="59"/>
  <c r="AK189" i="59"/>
  <c r="AJ189" i="59"/>
  <c r="AK188" i="59"/>
  <c r="AJ188" i="59"/>
  <c r="AK187" i="59"/>
  <c r="AJ187" i="59"/>
  <c r="AK186" i="59"/>
  <c r="AJ186" i="59"/>
  <c r="AK185" i="59"/>
  <c r="AJ185" i="59"/>
  <c r="AK184" i="59"/>
  <c r="AJ184" i="59"/>
  <c r="AG184" i="59"/>
  <c r="AH184" i="59" s="1"/>
  <c r="AK183" i="59"/>
  <c r="AJ183" i="59"/>
  <c r="AK182" i="59"/>
  <c r="AJ182" i="59"/>
  <c r="AG182" i="59"/>
  <c r="AH182" i="59" s="1"/>
  <c r="AK181" i="59"/>
  <c r="AJ181" i="59"/>
  <c r="AK180" i="59"/>
  <c r="AJ180" i="59"/>
  <c r="AG180" i="59"/>
  <c r="AH180" i="59" s="1"/>
  <c r="AK179" i="59"/>
  <c r="AJ179" i="59"/>
  <c r="AK178" i="59"/>
  <c r="AJ178" i="59"/>
  <c r="AK177" i="59"/>
  <c r="AJ177" i="59"/>
  <c r="AK176" i="59"/>
  <c r="AJ176" i="59"/>
  <c r="AG176" i="59"/>
  <c r="AH176" i="59" s="1"/>
  <c r="AK175" i="59"/>
  <c r="AJ175" i="59"/>
  <c r="AK174" i="59"/>
  <c r="AJ174" i="59"/>
  <c r="AK173" i="59"/>
  <c r="AJ173" i="59"/>
  <c r="AK172" i="59"/>
  <c r="AJ172" i="59"/>
  <c r="AG172" i="59"/>
  <c r="AH172" i="59" s="1"/>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s="1"/>
  <c r="AK161" i="59"/>
  <c r="AJ161" i="59"/>
  <c r="AG161" i="59"/>
  <c r="AH161" i="59" s="1"/>
  <c r="AK160" i="59"/>
  <c r="AJ160" i="59"/>
  <c r="AK159" i="59"/>
  <c r="AJ159" i="59"/>
  <c r="AK158" i="59"/>
  <c r="AJ158" i="59"/>
  <c r="AK157" i="59"/>
  <c r="AJ157" i="59"/>
  <c r="AG157" i="59"/>
  <c r="AH157" i="59" s="1"/>
  <c r="AK156" i="59"/>
  <c r="AJ156" i="59"/>
  <c r="AK155" i="59"/>
  <c r="AJ155" i="59"/>
  <c r="AK154" i="59"/>
  <c r="AJ154" i="59"/>
  <c r="AG154" i="59"/>
  <c r="AH154" i="59" s="1"/>
  <c r="AK153" i="59"/>
  <c r="AJ153" i="59"/>
  <c r="AG153" i="59"/>
  <c r="AH153" i="59" s="1"/>
  <c r="AK152" i="59"/>
  <c r="AJ152" i="59"/>
  <c r="AK151" i="59"/>
  <c r="AJ151" i="59"/>
  <c r="AK150" i="59"/>
  <c r="AJ150" i="59"/>
  <c r="AK149" i="59"/>
  <c r="AJ149" i="59"/>
  <c r="AG149" i="59"/>
  <c r="AH149" i="59" s="1"/>
  <c r="AK148" i="59"/>
  <c r="AJ148" i="59"/>
  <c r="AK147" i="59"/>
  <c r="AJ147" i="59"/>
  <c r="AK146" i="59"/>
  <c r="AJ146" i="59"/>
  <c r="AK145" i="59"/>
  <c r="AJ145" i="59"/>
  <c r="AG145" i="59"/>
  <c r="AH145" i="59" s="1"/>
  <c r="AK144" i="59"/>
  <c r="AJ144" i="59"/>
  <c r="AK143" i="59"/>
  <c r="AJ143" i="59"/>
  <c r="AG143" i="59"/>
  <c r="AH143" i="59" s="1"/>
  <c r="AK142" i="59"/>
  <c r="AJ142" i="59"/>
  <c r="AK141" i="59"/>
  <c r="AJ141" i="59"/>
  <c r="AK140" i="59"/>
  <c r="AJ140" i="59"/>
  <c r="AK139" i="59"/>
  <c r="AJ139" i="59"/>
  <c r="AK138" i="59"/>
  <c r="AJ138" i="59"/>
  <c r="AK137" i="59"/>
  <c r="AJ137" i="59"/>
  <c r="AG137" i="59"/>
  <c r="AH137" i="59" s="1"/>
  <c r="AK136" i="59"/>
  <c r="AJ136" i="59"/>
  <c r="AK135" i="59"/>
  <c r="AJ135" i="59"/>
  <c r="AK134" i="59"/>
  <c r="AJ134" i="59"/>
  <c r="AK133" i="59"/>
  <c r="AJ133" i="59"/>
  <c r="AG133" i="59"/>
  <c r="AH133" i="59" s="1"/>
  <c r="AK132" i="59"/>
  <c r="AJ132" i="59"/>
  <c r="AK131" i="59"/>
  <c r="AJ131" i="59"/>
  <c r="AK130" i="59"/>
  <c r="AJ130" i="59"/>
  <c r="AK129" i="59"/>
  <c r="AJ129" i="59"/>
  <c r="AK128" i="59"/>
  <c r="AJ128" i="59"/>
  <c r="AG128" i="59"/>
  <c r="AH128" i="59" s="1"/>
  <c r="AK127" i="59"/>
  <c r="AJ127" i="59"/>
  <c r="AK126" i="59"/>
  <c r="AJ126" i="59"/>
  <c r="AK125" i="59"/>
  <c r="AJ125" i="59"/>
  <c r="AG125" i="59"/>
  <c r="AH125" i="59" s="1"/>
  <c r="AK124" i="59"/>
  <c r="AJ124" i="59"/>
  <c r="AK123" i="59"/>
  <c r="AJ123" i="59"/>
  <c r="AK122" i="59"/>
  <c r="AJ122" i="59"/>
  <c r="AK121" i="59"/>
  <c r="AJ121" i="59"/>
  <c r="AG121" i="59"/>
  <c r="AH121" i="59" s="1"/>
  <c r="AK120" i="59"/>
  <c r="AJ120" i="59"/>
  <c r="AK119" i="59"/>
  <c r="AJ119" i="59"/>
  <c r="AK118" i="59"/>
  <c r="AJ118" i="59"/>
  <c r="AK117" i="59"/>
  <c r="AJ117" i="59"/>
  <c r="AG117" i="59"/>
  <c r="AH117" i="59" s="1"/>
  <c r="AK116" i="59"/>
  <c r="AJ116" i="59"/>
  <c r="AK115" i="59"/>
  <c r="AJ115" i="59"/>
  <c r="AK114" i="59"/>
  <c r="AJ114" i="59"/>
  <c r="AK113" i="59"/>
  <c r="AJ113" i="59"/>
  <c r="AG113" i="59"/>
  <c r="AH113" i="59" s="1"/>
  <c r="AK112" i="59"/>
  <c r="AJ112" i="59"/>
  <c r="AK111" i="59"/>
  <c r="AJ111" i="59"/>
  <c r="AG111" i="59"/>
  <c r="AH111" i="59" s="1"/>
  <c r="AK110" i="59"/>
  <c r="AJ110" i="59"/>
  <c r="AK109" i="59"/>
  <c r="AJ109" i="59"/>
  <c r="AK108" i="59"/>
  <c r="AJ108" i="59"/>
  <c r="AK107" i="59"/>
  <c r="AJ107" i="59"/>
  <c r="AK106" i="59"/>
  <c r="AJ106" i="59"/>
  <c r="AK105" i="59"/>
  <c r="AJ105" i="59"/>
  <c r="AG105" i="59"/>
  <c r="AH105" i="59" s="1"/>
  <c r="AK104" i="59"/>
  <c r="AJ104" i="59"/>
  <c r="AK103" i="59"/>
  <c r="AJ103" i="59"/>
  <c r="AK102" i="59"/>
  <c r="AJ102" i="59"/>
  <c r="AK101" i="59"/>
  <c r="AJ101" i="59"/>
  <c r="AG101" i="59"/>
  <c r="AH101" i="59" s="1"/>
  <c r="AK100" i="59"/>
  <c r="AJ100" i="59"/>
  <c r="AK99" i="59"/>
  <c r="AJ99" i="59"/>
  <c r="AK98" i="59"/>
  <c r="AJ98" i="59"/>
  <c r="AK97" i="59"/>
  <c r="AJ97" i="59"/>
  <c r="AG97" i="59"/>
  <c r="AH97" i="59" s="1"/>
  <c r="AK96" i="59"/>
  <c r="AJ96" i="59"/>
  <c r="AK95" i="59"/>
  <c r="AJ95" i="59"/>
  <c r="AK94" i="59"/>
  <c r="AJ94" i="59"/>
  <c r="AK93" i="59"/>
  <c r="AJ93" i="59"/>
  <c r="AG93" i="59"/>
  <c r="AH93" i="59" s="1"/>
  <c r="AK92" i="59"/>
  <c r="AJ92" i="59"/>
  <c r="AK91" i="59"/>
  <c r="AJ91" i="59"/>
  <c r="AG91" i="59"/>
  <c r="AH91" i="59" s="1"/>
  <c r="AK90" i="59"/>
  <c r="AJ90" i="59"/>
  <c r="AK89" i="59"/>
  <c r="AJ89" i="59"/>
  <c r="AG89" i="59"/>
  <c r="AH89" i="59" s="1"/>
  <c r="AK88" i="59"/>
  <c r="AJ88" i="59"/>
  <c r="AK87" i="59"/>
  <c r="AJ87" i="59"/>
  <c r="AG87" i="59"/>
  <c r="AH87" i="59" s="1"/>
  <c r="AK86" i="59"/>
  <c r="AJ86" i="59"/>
  <c r="AK85" i="59"/>
  <c r="AJ85" i="59"/>
  <c r="AG85" i="59"/>
  <c r="AH85" i="59" s="1"/>
  <c r="AK84" i="59"/>
  <c r="AJ84" i="59"/>
  <c r="AK83" i="59"/>
  <c r="AJ83" i="59"/>
  <c r="AK82" i="59"/>
  <c r="AJ82" i="59"/>
  <c r="AK81" i="59"/>
  <c r="AJ81" i="59"/>
  <c r="AG81" i="59"/>
  <c r="AH81" i="59" s="1"/>
  <c r="AK80" i="59"/>
  <c r="AJ80" i="59"/>
  <c r="AK79" i="59"/>
  <c r="AJ79" i="59"/>
  <c r="AK78" i="59"/>
  <c r="AJ78" i="59"/>
  <c r="AK77" i="59"/>
  <c r="AJ77" i="59"/>
  <c r="AG77" i="59"/>
  <c r="AH77" i="59" s="1"/>
  <c r="AK76" i="59"/>
  <c r="AJ76" i="59"/>
  <c r="AK75" i="59"/>
  <c r="AJ75" i="59"/>
  <c r="AK74" i="59"/>
  <c r="AJ74" i="59"/>
  <c r="AK73" i="59"/>
  <c r="AJ73" i="59"/>
  <c r="AK72" i="59"/>
  <c r="AJ72" i="59"/>
  <c r="AK71" i="59"/>
  <c r="AJ71" i="59"/>
  <c r="AK70" i="59"/>
  <c r="AJ70" i="59"/>
  <c r="AG70" i="59"/>
  <c r="AH70" i="59" s="1"/>
  <c r="AK69" i="59"/>
  <c r="AJ69" i="59"/>
  <c r="AG69" i="59"/>
  <c r="AH69" i="59" s="1"/>
  <c r="AK68" i="59"/>
  <c r="AJ68" i="59"/>
  <c r="AK67" i="59"/>
  <c r="AJ67" i="59"/>
  <c r="AK66" i="59"/>
  <c r="AJ66" i="59"/>
  <c r="AK65" i="59"/>
  <c r="AJ65" i="59"/>
  <c r="AK64" i="59"/>
  <c r="AJ64" i="59"/>
  <c r="AK63" i="59"/>
  <c r="AJ63" i="59"/>
  <c r="AK62" i="59"/>
  <c r="AJ62" i="59"/>
  <c r="AK61" i="59"/>
  <c r="AJ61" i="59"/>
  <c r="AK60" i="59"/>
  <c r="AJ60" i="59"/>
  <c r="AK59" i="59"/>
  <c r="AJ59" i="59"/>
  <c r="AG59" i="59"/>
  <c r="AH59" i="59" s="1"/>
  <c r="AK58" i="59"/>
  <c r="AJ58" i="59"/>
  <c r="AK57" i="59"/>
  <c r="AJ57" i="59"/>
  <c r="AK56" i="59"/>
  <c r="AJ56" i="59"/>
  <c r="AK55" i="59"/>
  <c r="AJ55" i="59"/>
  <c r="AK54" i="59"/>
  <c r="AJ54" i="59"/>
  <c r="AK53" i="59"/>
  <c r="AJ53" i="59"/>
  <c r="AG53" i="59"/>
  <c r="AH53" i="59" s="1"/>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s="1"/>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l="1"/>
  <c r="X4" i="22"/>
  <c r="X20" i="22"/>
  <c r="X14" i="22"/>
  <c r="C8" i="107"/>
  <c r="Q12" i="59"/>
  <c r="T12" i="59"/>
  <c r="AB53" i="69"/>
  <c r="AC53" i="69" s="1"/>
  <c r="AD53" i="69" s="1"/>
  <c r="AG70" i="57"/>
  <c r="X68" i="57"/>
  <c r="AB68" i="57" s="1"/>
  <c r="M71" i="53"/>
  <c r="AC71" i="53" s="1"/>
  <c r="O71" i="53"/>
  <c r="AP55" i="69"/>
  <c r="N55" i="69"/>
  <c r="U55" i="69" s="1"/>
  <c r="AA67" i="57"/>
  <c r="AF67" i="57"/>
  <c r="AE69" i="57"/>
  <c r="AQ69" i="57"/>
  <c r="AD69" i="57"/>
  <c r="AJ69" i="57"/>
  <c r="Q69" i="57"/>
  <c r="T69" i="57" s="1"/>
  <c r="R69" i="57"/>
  <c r="AC69" i="57"/>
  <c r="M70" i="57"/>
  <c r="AK70" i="57" s="1"/>
  <c r="N71" i="53"/>
  <c r="AA69" i="53"/>
  <c r="AB69" i="53"/>
  <c r="AA11" i="71"/>
  <c r="AA257" i="71" s="1"/>
  <c r="H7" i="107"/>
  <c r="AU20" i="59"/>
  <c r="AU18" i="59"/>
  <c r="AO11" i="59" a="1"/>
  <c r="AO11" i="59" s="1"/>
  <c r="AO12" i="59" s="1" a="1"/>
  <c r="AO12" i="59" s="1"/>
  <c r="AO13" i="59" s="1" a="1"/>
  <c r="AO13" i="59" s="1"/>
  <c r="AP11" i="59" a="1"/>
  <c r="AP11" i="59" s="1"/>
  <c r="AF54" i="69"/>
  <c r="Q54" i="69"/>
  <c r="O71" i="57"/>
  <c r="P71" i="57"/>
  <c r="AH34" i="59"/>
  <c r="AU34" i="59"/>
  <c r="AH48" i="59"/>
  <c r="AH38" i="59"/>
  <c r="AU38" i="59"/>
  <c r="AH47" i="59"/>
  <c r="AH30" i="59"/>
  <c r="AU30" i="59"/>
  <c r="AH26" i="59"/>
  <c r="AU26" i="59"/>
  <c r="AH42" i="59"/>
  <c r="AU42" i="59"/>
  <c r="AO55" i="69"/>
  <c r="O56" i="69"/>
  <c r="AG53" i="69"/>
  <c r="AE70" i="53"/>
  <c r="AF69" i="53"/>
  <c r="R70" i="53"/>
  <c r="X70" i="53" s="1"/>
  <c r="AH255" i="59"/>
  <c r="AH22" i="59"/>
  <c r="AH20" i="59"/>
  <c r="AH18" i="59"/>
  <c r="AY54" i="69"/>
  <c r="L71" i="57"/>
  <c r="Q70" i="53"/>
  <c r="AH70" i="53"/>
  <c r="AT70" i="53"/>
  <c r="AG70" i="53"/>
  <c r="N71" i="57"/>
  <c r="L71" i="53"/>
  <c r="AH54" i="69"/>
  <c r="AD70" i="53"/>
  <c r="AH12" i="59"/>
  <c r="J71" i="53"/>
  <c r="D71" i="53"/>
  <c r="I71" i="53"/>
  <c r="C71" i="53"/>
  <c r="F71" i="53"/>
  <c r="K71" i="53"/>
  <c r="E71" i="53"/>
  <c r="P71" i="53"/>
  <c r="AK70" i="52" a="1"/>
  <c r="AK70" i="52" s="1"/>
  <c r="B72" i="53" s="1"/>
  <c r="G71" i="53"/>
  <c r="H71" i="53"/>
  <c r="K71" i="57"/>
  <c r="G71" i="57"/>
  <c r="E71" i="57"/>
  <c r="D71" i="57"/>
  <c r="C71" i="57"/>
  <c r="I71" i="57"/>
  <c r="H71" i="57"/>
  <c r="F71" i="57"/>
  <c r="J71" i="57"/>
  <c r="AN70" i="55" a="1"/>
  <c r="AN70" i="55" s="1"/>
  <c r="B72" i="57" s="1"/>
  <c r="D55" i="69"/>
  <c r="E55" i="69" s="1"/>
  <c r="F55" i="69" s="1"/>
  <c r="G55" i="69" s="1"/>
  <c r="H55" i="69" s="1"/>
  <c r="I55" i="69" s="1"/>
  <c r="J55" i="69" s="1"/>
  <c r="K55" i="69" s="1"/>
  <c r="M55" i="69" s="1"/>
  <c r="AE54" i="69"/>
  <c r="R54" i="69"/>
  <c r="S54" i="69" s="1"/>
  <c r="Y54" i="69" s="1"/>
  <c r="C56" i="69"/>
  <c r="P56" i="69" s="1"/>
  <c r="AR56" i="67" a="1"/>
  <c r="AR56" i="67" s="1"/>
  <c r="B57" i="69"/>
  <c r="L57" i="69" s="1"/>
  <c r="AG65" i="59"/>
  <c r="AH65" i="59" s="1"/>
  <c r="AG61" i="59"/>
  <c r="AH61" i="59" s="1"/>
  <c r="AG57" i="59"/>
  <c r="AH57" i="59" s="1"/>
  <c r="AG92" i="59"/>
  <c r="AH92" i="59" s="1"/>
  <c r="AG150" i="59"/>
  <c r="AH150" i="59" s="1"/>
  <c r="AG19" i="59"/>
  <c r="AG216" i="59"/>
  <c r="AH216" i="59" s="1"/>
  <c r="AG217" i="59"/>
  <c r="AH217" i="59" s="1"/>
  <c r="AG55" i="59"/>
  <c r="AH55" i="59" s="1"/>
  <c r="AG86" i="59"/>
  <c r="AH86" i="59" s="1"/>
  <c r="AG103" i="59"/>
  <c r="AH103" i="59" s="1"/>
  <c r="AG17" i="59"/>
  <c r="AG119" i="59"/>
  <c r="AH119" i="59" s="1"/>
  <c r="AG15" i="59"/>
  <c r="AG132" i="59"/>
  <c r="AH132" i="59" s="1"/>
  <c r="AG156" i="59"/>
  <c r="AH156" i="59" s="1"/>
  <c r="AG252" i="59"/>
  <c r="AH252" i="59" s="1"/>
  <c r="AG66" i="59"/>
  <c r="AH66" i="59" s="1"/>
  <c r="AG75" i="59"/>
  <c r="AH75" i="59" s="1"/>
  <c r="AG160" i="59"/>
  <c r="AH160" i="59" s="1"/>
  <c r="AG248" i="59"/>
  <c r="AH248" i="59" s="1"/>
  <c r="AG54" i="59"/>
  <c r="AH54" i="59" s="1"/>
  <c r="AG21" i="59"/>
  <c r="AU21" i="59" s="1"/>
  <c r="AG64" i="59"/>
  <c r="AH64" i="59" s="1"/>
  <c r="AG107" i="59"/>
  <c r="AH107" i="59" s="1"/>
  <c r="AG130" i="59"/>
  <c r="AH130" i="59" s="1"/>
  <c r="AG139" i="59"/>
  <c r="AH139" i="59" s="1"/>
  <c r="AG178" i="59"/>
  <c r="AH178" i="59" s="1"/>
  <c r="AG52" i="59"/>
  <c r="AG83" i="59"/>
  <c r="AH83" i="59" s="1"/>
  <c r="AG122" i="59"/>
  <c r="AH122" i="59" s="1"/>
  <c r="AG166" i="59"/>
  <c r="AH166" i="59" s="1"/>
  <c r="AG181" i="59"/>
  <c r="AH181" i="59" s="1"/>
  <c r="AG185" i="59"/>
  <c r="AH185" i="59" s="1"/>
  <c r="AG13" i="59"/>
  <c r="AG96" i="59"/>
  <c r="AH96" i="59" s="1"/>
  <c r="AG147" i="59"/>
  <c r="AH147" i="59" s="1"/>
  <c r="AG14" i="59"/>
  <c r="AG62" i="59"/>
  <c r="AH62" i="59" s="1"/>
  <c r="AG16" i="59"/>
  <c r="AG27" i="59"/>
  <c r="AG49" i="59"/>
  <c r="AG84" i="59"/>
  <c r="AH84" i="59" s="1"/>
  <c r="AG114" i="59"/>
  <c r="AH114" i="59" s="1"/>
  <c r="AG51" i="59"/>
  <c r="AG58" i="59"/>
  <c r="AH58" i="59" s="1"/>
  <c r="AG151" i="59"/>
  <c r="AH151" i="59" s="1"/>
  <c r="AG23" i="59"/>
  <c r="AU23" i="59" s="1"/>
  <c r="AG31" i="59"/>
  <c r="AG79" i="59"/>
  <c r="AH79" i="59" s="1"/>
  <c r="AG129" i="59"/>
  <c r="AH129" i="59" s="1"/>
  <c r="AG165" i="59"/>
  <c r="AH165" i="59" s="1"/>
  <c r="AG90" i="59"/>
  <c r="AH90" i="59" s="1"/>
  <c r="AG98" i="59"/>
  <c r="AH98" i="59" s="1"/>
  <c r="AG158" i="59"/>
  <c r="AH158" i="59" s="1"/>
  <c r="AG100" i="59"/>
  <c r="AH100" i="59" s="1"/>
  <c r="AG118" i="59"/>
  <c r="AH118" i="59" s="1"/>
  <c r="AG124" i="59"/>
  <c r="AH124" i="59" s="1"/>
  <c r="AG212" i="59"/>
  <c r="AH212" i="59" s="1"/>
  <c r="AG170" i="59"/>
  <c r="AH170" i="59" s="1"/>
  <c r="AG179" i="59"/>
  <c r="AH179" i="59" s="1"/>
  <c r="AG228" i="59"/>
  <c r="AH228" i="59" s="1"/>
  <c r="AG186" i="59"/>
  <c r="AH186" i="59" s="1"/>
  <c r="AG190" i="59"/>
  <c r="AH190" i="59" s="1"/>
  <c r="AG200" i="59"/>
  <c r="AH200" i="59" s="1"/>
  <c r="AG213" i="59"/>
  <c r="AH213" i="59" s="1"/>
  <c r="AG229" i="59"/>
  <c r="AH229" i="59" s="1"/>
  <c r="AG240" i="59"/>
  <c r="AH240" i="59" s="1"/>
  <c r="AG135" i="59"/>
  <c r="AH135" i="59" s="1"/>
  <c r="AG146" i="59"/>
  <c r="AH146" i="59" s="1"/>
  <c r="AG197" i="59"/>
  <c r="AH197" i="59" s="1"/>
  <c r="AG201" i="59"/>
  <c r="AH201" i="59" s="1"/>
  <c r="AG174" i="59"/>
  <c r="AH174" i="59" s="1"/>
  <c r="AG187" i="59"/>
  <c r="AH187" i="59" s="1"/>
  <c r="AG232" i="59"/>
  <c r="AH232" i="59" s="1"/>
  <c r="AG244" i="59"/>
  <c r="AH244" i="59" s="1"/>
  <c r="AG36" i="59"/>
  <c r="AG39" i="59"/>
  <c r="AG40" i="59"/>
  <c r="AG43" i="59"/>
  <c r="AG44" i="59"/>
  <c r="AG63" i="59"/>
  <c r="AH63" i="59" s="1"/>
  <c r="AG25" i="59"/>
  <c r="AG46" i="59"/>
  <c r="AG29" i="59"/>
  <c r="AG24" i="59"/>
  <c r="AG33" i="59"/>
  <c r="AG50" i="59"/>
  <c r="AG28" i="59"/>
  <c r="AG37" i="59"/>
  <c r="AG72" i="59"/>
  <c r="AH72" i="59" s="1"/>
  <c r="AG73" i="59"/>
  <c r="AH73" i="59" s="1"/>
  <c r="AG74" i="59"/>
  <c r="AH74" i="59" s="1"/>
  <c r="AG94" i="59"/>
  <c r="AH94" i="59" s="1"/>
  <c r="AG32" i="59"/>
  <c r="AG35" i="59"/>
  <c r="AG41" i="59"/>
  <c r="AG45" i="59"/>
  <c r="AG76" i="59"/>
  <c r="AH76" i="59" s="1"/>
  <c r="AG56" i="59"/>
  <c r="AH56" i="59" s="1"/>
  <c r="AG67" i="59"/>
  <c r="AH67" i="59" s="1"/>
  <c r="AG78" i="59"/>
  <c r="AH78" i="59" s="1"/>
  <c r="AG88" i="59"/>
  <c r="AH88" i="59" s="1"/>
  <c r="AG99" i="59"/>
  <c r="AH99" i="59" s="1"/>
  <c r="AG169" i="59"/>
  <c r="AH169" i="59" s="1"/>
  <c r="AG68" i="59"/>
  <c r="AH68" i="59" s="1"/>
  <c r="AG80" i="59"/>
  <c r="AH80" i="59" s="1"/>
  <c r="AG140" i="59"/>
  <c r="AH140" i="59" s="1"/>
  <c r="AG141" i="59"/>
  <c r="AH141" i="59" s="1"/>
  <c r="AG142" i="59"/>
  <c r="AH142" i="59" s="1"/>
  <c r="AG60" i="59"/>
  <c r="AH60" i="59" s="1"/>
  <c r="AG71" i="59"/>
  <c r="AH71" i="59" s="1"/>
  <c r="AG82" i="59"/>
  <c r="AH82" i="59" s="1"/>
  <c r="AG95" i="59"/>
  <c r="AH95" i="59" s="1"/>
  <c r="AG108" i="59"/>
  <c r="AH108" i="59" s="1"/>
  <c r="AG109" i="59"/>
  <c r="AH109" i="59" s="1"/>
  <c r="AG110" i="59"/>
  <c r="AH110" i="59" s="1"/>
  <c r="AG131" i="59"/>
  <c r="AH131" i="59" s="1"/>
  <c r="AG163" i="59"/>
  <c r="AH163" i="59" s="1"/>
  <c r="AG102" i="59"/>
  <c r="AH102" i="59" s="1"/>
  <c r="AG112" i="59"/>
  <c r="AH112" i="59" s="1"/>
  <c r="AG123" i="59"/>
  <c r="AH123" i="59" s="1"/>
  <c r="AG134" i="59"/>
  <c r="AH134" i="59" s="1"/>
  <c r="AG144" i="59"/>
  <c r="AH144" i="59" s="1"/>
  <c r="AG155" i="59"/>
  <c r="AH155" i="59" s="1"/>
  <c r="AG104" i="59"/>
  <c r="AH104" i="59" s="1"/>
  <c r="AG115" i="59"/>
  <c r="AH115" i="59" s="1"/>
  <c r="AG126" i="59"/>
  <c r="AH126" i="59" s="1"/>
  <c r="AG136" i="59"/>
  <c r="AH136" i="59" s="1"/>
  <c r="AG167" i="59"/>
  <c r="AH167" i="59" s="1"/>
  <c r="AG106" i="59"/>
  <c r="AH106" i="59" s="1"/>
  <c r="AG116" i="59"/>
  <c r="AH116" i="59" s="1"/>
  <c r="AG127" i="59"/>
  <c r="AH127" i="59" s="1"/>
  <c r="AG138" i="59"/>
  <c r="AH138" i="59" s="1"/>
  <c r="AG148" i="59"/>
  <c r="AH148" i="59" s="1"/>
  <c r="AG159" i="59"/>
  <c r="AH159" i="59" s="1"/>
  <c r="AG168" i="59"/>
  <c r="AH168" i="59" s="1"/>
  <c r="AG120" i="59"/>
  <c r="AH120" i="59" s="1"/>
  <c r="AG152" i="59"/>
  <c r="AH152" i="59" s="1"/>
  <c r="AG164" i="59"/>
  <c r="AH164" i="59" s="1"/>
  <c r="AG177" i="59"/>
  <c r="AH177" i="59" s="1"/>
  <c r="AG205" i="59"/>
  <c r="AH205" i="59" s="1"/>
  <c r="AG206" i="59"/>
  <c r="AH206" i="59" s="1"/>
  <c r="AG188" i="59"/>
  <c r="AH188" i="59" s="1"/>
  <c r="AG171" i="59"/>
  <c r="AH171" i="59" s="1"/>
  <c r="AG192" i="59"/>
  <c r="AH192" i="59" s="1"/>
  <c r="AG173" i="59"/>
  <c r="AH173" i="59" s="1"/>
  <c r="AG183" i="59"/>
  <c r="AH183" i="59" s="1"/>
  <c r="AG189" i="59"/>
  <c r="AH189" i="59" s="1"/>
  <c r="AG175" i="59"/>
  <c r="AH175" i="59" s="1"/>
  <c r="AG203" i="59"/>
  <c r="AH203" i="59" s="1"/>
  <c r="AG194" i="59"/>
  <c r="AH194" i="59" s="1"/>
  <c r="AG210" i="59"/>
  <c r="AH210" i="59" s="1"/>
  <c r="AG221" i="59"/>
  <c r="AH221" i="59" s="1"/>
  <c r="AG226" i="59"/>
  <c r="AH226" i="59" s="1"/>
  <c r="AG253" i="59"/>
  <c r="AH253" i="59" s="1"/>
  <c r="AG256" i="59"/>
  <c r="AH256" i="59" s="1"/>
  <c r="AG234" i="59"/>
  <c r="AH234" i="59" s="1"/>
  <c r="AG257" i="59"/>
  <c r="AH257" i="59" s="1"/>
  <c r="AG222" i="59"/>
  <c r="AH222" i="59" s="1"/>
  <c r="AG238" i="59"/>
  <c r="AH238" i="59" s="1"/>
  <c r="AG233" i="59"/>
  <c r="AH233" i="59" s="1"/>
  <c r="AG236" i="59"/>
  <c r="AH236" i="59" s="1"/>
  <c r="AG242" i="59"/>
  <c r="AH242" i="59" s="1"/>
  <c r="AG196" i="59"/>
  <c r="AH196" i="59" s="1"/>
  <c r="AG202" i="59"/>
  <c r="AH202" i="59" s="1"/>
  <c r="AG218" i="59"/>
  <c r="AH218" i="59" s="1"/>
  <c r="AG237" i="59"/>
  <c r="AH237" i="59" s="1"/>
  <c r="AG246" i="59"/>
  <c r="AH246" i="59" s="1"/>
  <c r="AG241" i="59"/>
  <c r="AH241" i="59" s="1"/>
  <c r="AG250" i="59"/>
  <c r="AH250" i="59" s="1"/>
  <c r="AG193" i="59"/>
  <c r="AH193" i="59" s="1"/>
  <c r="AG198" i="59"/>
  <c r="AH198" i="59" s="1"/>
  <c r="AG209" i="59"/>
  <c r="AH209" i="59" s="1"/>
  <c r="AG214" i="59"/>
  <c r="AH214" i="59" s="1"/>
  <c r="AG225" i="59"/>
  <c r="AH225" i="59" s="1"/>
  <c r="AG230" i="59"/>
  <c r="AG245" i="59"/>
  <c r="AH245" i="59" s="1"/>
  <c r="AG254" i="59"/>
  <c r="AH254" i="59" s="1"/>
  <c r="AG249" i="59"/>
  <c r="AH249" i="59" s="1"/>
  <c r="AG258" i="59"/>
  <c r="AH258" i="59" s="1"/>
  <c r="S7" i="78"/>
  <c r="S8" i="78"/>
  <c r="S6" i="78"/>
  <c r="T55" i="22" l="1"/>
  <c r="AA12" i="59"/>
  <c r="Q13" i="59"/>
  <c r="T13" i="59"/>
  <c r="Q14" i="59"/>
  <c r="T14" i="59"/>
  <c r="Q15" i="59"/>
  <c r="T15" i="59"/>
  <c r="C11" i="107" s="1"/>
  <c r="AB54" i="69"/>
  <c r="AC54" i="69" s="1"/>
  <c r="AD54" i="69" s="1"/>
  <c r="X69" i="57"/>
  <c r="AB69" i="57" s="1"/>
  <c r="AG71" i="57"/>
  <c r="M72" i="53"/>
  <c r="AC72" i="53" s="1"/>
  <c r="O72" i="53"/>
  <c r="AP56" i="69"/>
  <c r="N56" i="69"/>
  <c r="U56" i="69" s="1"/>
  <c r="AF68" i="57"/>
  <c r="AA68" i="57"/>
  <c r="AJ70" i="57"/>
  <c r="R70" i="57"/>
  <c r="AC70" i="57"/>
  <c r="Q70" i="57"/>
  <c r="T70" i="57" s="1"/>
  <c r="AE70" i="57"/>
  <c r="AD70" i="57"/>
  <c r="AQ70" i="57"/>
  <c r="M71" i="57"/>
  <c r="AK71" i="57" s="1"/>
  <c r="AH230" i="59"/>
  <c r="AB257" i="71"/>
  <c r="X96" i="22"/>
  <c r="N72" i="53"/>
  <c r="AA70" i="53"/>
  <c r="AB70" i="53"/>
  <c r="AU19" i="59"/>
  <c r="AU17" i="59"/>
  <c r="AF55" i="69"/>
  <c r="Q55" i="69"/>
  <c r="O72" i="57"/>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F70" i="53"/>
  <c r="AE71" i="53"/>
  <c r="R71" i="53"/>
  <c r="X71" i="53" s="1"/>
  <c r="AU255" i="59"/>
  <c r="AH23" i="59"/>
  <c r="AH21" i="59"/>
  <c r="AH19" i="59"/>
  <c r="AH17" i="59"/>
  <c r="AH16" i="59"/>
  <c r="AY55" i="69"/>
  <c r="L72" i="57"/>
  <c r="AG71" i="53"/>
  <c r="AH71" i="53"/>
  <c r="AT71" i="53"/>
  <c r="AH15" i="59"/>
  <c r="AH14" i="59"/>
  <c r="N72" i="57"/>
  <c r="L72" i="53"/>
  <c r="AH55" i="69"/>
  <c r="AH13" i="59"/>
  <c r="AD71" i="53"/>
  <c r="Q71" i="53"/>
  <c r="AK71" i="52" a="1"/>
  <c r="AK71" i="52" s="1"/>
  <c r="B73" i="53" s="1"/>
  <c r="P72" i="53"/>
  <c r="E72" i="53"/>
  <c r="D72" i="53"/>
  <c r="C72" i="53"/>
  <c r="F72" i="53"/>
  <c r="K72" i="53"/>
  <c r="H72" i="53"/>
  <c r="G72" i="53"/>
  <c r="J72" i="53"/>
  <c r="I72" i="53"/>
  <c r="I72" i="57"/>
  <c r="F72" i="57"/>
  <c r="E72" i="57"/>
  <c r="C72" i="57"/>
  <c r="K72" i="57"/>
  <c r="J72" i="57"/>
  <c r="H72" i="57"/>
  <c r="D72" i="57"/>
  <c r="G72" i="57"/>
  <c r="AN71" i="55" a="1"/>
  <c r="AN71" i="55" s="1"/>
  <c r="B73" i="57" s="1"/>
  <c r="C57" i="69"/>
  <c r="P57" i="69" s="1"/>
  <c r="D56" i="69"/>
  <c r="E56" i="69" s="1"/>
  <c r="F56" i="69" s="1"/>
  <c r="G56" i="69" s="1"/>
  <c r="H56" i="69" s="1"/>
  <c r="I56" i="69" s="1"/>
  <c r="J56" i="69" s="1"/>
  <c r="K56" i="69" s="1"/>
  <c r="M56" i="69" s="1"/>
  <c r="AR57" i="67" a="1"/>
  <c r="AR57" i="67" s="1"/>
  <c r="B58" i="69"/>
  <c r="L58" i="69" s="1"/>
  <c r="AE55" i="69"/>
  <c r="R55" i="69"/>
  <c r="S55" i="69" s="1"/>
  <c r="Y55" i="69" s="1"/>
  <c r="S9" i="78"/>
  <c r="AP12" i="59" a="1"/>
  <c r="AP12" i="59" s="1"/>
  <c r="E13" i="50" s="1"/>
  <c r="E12" i="50"/>
  <c r="AO14" i="59" a="1"/>
  <c r="AO14" i="59" s="1"/>
  <c r="L7" i="29"/>
  <c r="T135" i="22" l="1"/>
  <c r="AA14" i="59"/>
  <c r="AU14" i="59" s="1"/>
  <c r="AA13" i="59"/>
  <c r="AU13" i="59" s="1"/>
  <c r="T8" i="22"/>
  <c r="AA15" i="59"/>
  <c r="AU15" i="59" s="1"/>
  <c r="X70" i="57"/>
  <c r="AB70" i="57" s="1"/>
  <c r="AG72" i="57"/>
  <c r="M73" i="53"/>
  <c r="AC73" i="53" s="1"/>
  <c r="O73" i="53"/>
  <c r="AP57" i="69"/>
  <c r="N57" i="69"/>
  <c r="U57" i="69" s="1"/>
  <c r="Q71" i="57"/>
  <c r="T71" i="57" s="1"/>
  <c r="R71" i="57"/>
  <c r="AD71" i="57"/>
  <c r="AF69" i="57"/>
  <c r="AA69" i="57"/>
  <c r="AQ71" i="57"/>
  <c r="AC71" i="57"/>
  <c r="AJ71" i="57"/>
  <c r="AE71" i="57"/>
  <c r="M72" i="57"/>
  <c r="AK72" i="57" s="1"/>
  <c r="T5" i="22"/>
  <c r="AU230" i="59"/>
  <c r="N73" i="53"/>
  <c r="O13" i="50"/>
  <c r="T13" i="50"/>
  <c r="AA71" i="53"/>
  <c r="AB71" i="53"/>
  <c r="AU16" i="59"/>
  <c r="O12" i="50"/>
  <c r="AF56" i="69"/>
  <c r="Q56" i="69"/>
  <c r="O73" i="57"/>
  <c r="P73" i="57"/>
  <c r="AU32" i="59"/>
  <c r="AU43" i="59"/>
  <c r="AU44" i="59"/>
  <c r="AU52" i="59"/>
  <c r="AU51" i="59"/>
  <c r="AU46" i="59"/>
  <c r="AU49" i="59"/>
  <c r="AU41" i="59"/>
  <c r="AB55" i="69"/>
  <c r="AG55" i="69"/>
  <c r="AO57" i="69"/>
  <c r="O58" i="69"/>
  <c r="AE72" i="53"/>
  <c r="AF71" i="53"/>
  <c r="R72" i="53"/>
  <c r="X72" i="53" s="1"/>
  <c r="AU12" i="59"/>
  <c r="AL30" i="22"/>
  <c r="AL32" i="22"/>
  <c r="AY56" i="69"/>
  <c r="L73" i="57"/>
  <c r="AH72" i="53"/>
  <c r="AT72" i="53"/>
  <c r="AG72" i="53"/>
  <c r="N73" i="57"/>
  <c r="AH56" i="69"/>
  <c r="Q72" i="53"/>
  <c r="AD72" i="53"/>
  <c r="P73" i="53"/>
  <c r="J73" i="53"/>
  <c r="G73" i="53"/>
  <c r="L73" i="53"/>
  <c r="F73" i="53"/>
  <c r="I73" i="53"/>
  <c r="AK72" i="52" a="1"/>
  <c r="AK72" i="52" s="1"/>
  <c r="B74" i="53" s="1"/>
  <c r="H73" i="53"/>
  <c r="C73" i="53"/>
  <c r="K73" i="53"/>
  <c r="D73" i="53"/>
  <c r="E73" i="53"/>
  <c r="A13" i="50"/>
  <c r="Q13" i="50" s="1"/>
  <c r="I13" i="50"/>
  <c r="M13" i="50"/>
  <c r="G13" i="50"/>
  <c r="B13" i="50"/>
  <c r="R13" i="50" s="1"/>
  <c r="K13" i="50"/>
  <c r="J13" i="50"/>
  <c r="N13" i="50"/>
  <c r="H13" i="50"/>
  <c r="L13" i="50"/>
  <c r="F13" i="50"/>
  <c r="U13" i="50" s="1"/>
  <c r="F12" i="50"/>
  <c r="B12" i="50"/>
  <c r="R12" i="50" s="1"/>
  <c r="A12" i="50"/>
  <c r="Q12" i="50" s="1"/>
  <c r="J12" i="50"/>
  <c r="H12" i="50"/>
  <c r="K12" i="50"/>
  <c r="G12" i="50"/>
  <c r="C73" i="57"/>
  <c r="I73" i="57"/>
  <c r="H73" i="57"/>
  <c r="G73" i="57"/>
  <c r="E73" i="57"/>
  <c r="D73" i="57"/>
  <c r="K73" i="57"/>
  <c r="F73" i="57"/>
  <c r="J73" i="57"/>
  <c r="AN72" i="55" a="1"/>
  <c r="AN72" i="55" s="1"/>
  <c r="B74" i="57" s="1"/>
  <c r="R56" i="69"/>
  <c r="S56" i="69" s="1"/>
  <c r="AE56" i="69"/>
  <c r="D57" i="69"/>
  <c r="E57" i="69" s="1"/>
  <c r="F57" i="69" s="1"/>
  <c r="G57" i="69" s="1"/>
  <c r="H57" i="69" s="1"/>
  <c r="I57" i="69" s="1"/>
  <c r="J57" i="69" s="1"/>
  <c r="K57" i="69" s="1"/>
  <c r="M57" i="69" s="1"/>
  <c r="C58" i="69"/>
  <c r="P58" i="69" s="1"/>
  <c r="AR58" i="67" a="1"/>
  <c r="AR58" i="67" s="1"/>
  <c r="B59" i="69"/>
  <c r="L59" i="69" s="1"/>
  <c r="AP13" i="59" a="1"/>
  <c r="AP13" i="59" s="1"/>
  <c r="E14" i="50" s="1"/>
  <c r="AO15" i="59" a="1"/>
  <c r="AO15" i="59" s="1"/>
  <c r="Y56" i="69" l="1"/>
  <c r="AB56" i="69" s="1"/>
  <c r="AC56" i="69" s="1"/>
  <c r="AD56" i="69" s="1"/>
  <c r="X71" i="57"/>
  <c r="AB71" i="57" s="1"/>
  <c r="AG73" i="57"/>
  <c r="M74" i="53"/>
  <c r="AC74" i="53" s="1"/>
  <c r="O74" i="53"/>
  <c r="AP58" i="69"/>
  <c r="N58" i="69"/>
  <c r="U58" i="69" s="1"/>
  <c r="AA70" i="57"/>
  <c r="AF70" i="57"/>
  <c r="AE72" i="57"/>
  <c r="Q72" i="57"/>
  <c r="T72" i="57" s="1"/>
  <c r="AQ72" i="57"/>
  <c r="R72" i="57"/>
  <c r="AD72" i="57"/>
  <c r="AJ72" i="57"/>
  <c r="AC72" i="57"/>
  <c r="M73" i="57"/>
  <c r="AK73" i="57" s="1"/>
  <c r="P12" i="50"/>
  <c r="P13" i="50"/>
  <c r="N74" i="53"/>
  <c r="T14" i="50"/>
  <c r="O14" i="50"/>
  <c r="AA72" i="53"/>
  <c r="AB72" i="53"/>
  <c r="S13" i="50"/>
  <c r="S12" i="50"/>
  <c r="AF57" i="69"/>
  <c r="Q57" i="69"/>
  <c r="O74" i="57"/>
  <c r="P74" i="57"/>
  <c r="AL31" i="22"/>
  <c r="AC55" i="69"/>
  <c r="AD55" i="69" s="1"/>
  <c r="O59" i="69"/>
  <c r="AO58" i="69"/>
  <c r="AF72" i="53"/>
  <c r="AE73" i="53"/>
  <c r="R73" i="53"/>
  <c r="X73" i="53" s="1"/>
  <c r="AY57" i="69"/>
  <c r="L74" i="57"/>
  <c r="AG73" i="53"/>
  <c r="AH73" i="53"/>
  <c r="AT73" i="53"/>
  <c r="Q73" i="53"/>
  <c r="N74" i="57"/>
  <c r="AD73" i="53"/>
  <c r="D74" i="53"/>
  <c r="AH57" i="69"/>
  <c r="I74" i="53"/>
  <c r="G74" i="53"/>
  <c r="F74" i="53"/>
  <c r="P74" i="53"/>
  <c r="K74" i="53"/>
  <c r="L74" i="53"/>
  <c r="AK73" i="52" a="1"/>
  <c r="AK73" i="52" s="1"/>
  <c r="B75" i="53" s="1"/>
  <c r="C74" i="53"/>
  <c r="E74" i="53"/>
  <c r="H74" i="53"/>
  <c r="J74" i="53"/>
  <c r="I14" i="50"/>
  <c r="B14" i="50"/>
  <c r="R14" i="50" s="1"/>
  <c r="H14" i="50"/>
  <c r="N14" i="50"/>
  <c r="F14" i="50"/>
  <c r="U14" i="50" s="1"/>
  <c r="L14" i="50"/>
  <c r="M14" i="50"/>
  <c r="A14" i="50"/>
  <c r="Q14" i="50" s="1"/>
  <c r="G14" i="50"/>
  <c r="K14" i="50"/>
  <c r="J14" i="50"/>
  <c r="J74" i="57"/>
  <c r="G74" i="57"/>
  <c r="D74" i="57"/>
  <c r="K74" i="57"/>
  <c r="F74" i="57"/>
  <c r="E74" i="57"/>
  <c r="I74" i="57"/>
  <c r="C74" i="57"/>
  <c r="H74" i="57"/>
  <c r="AN73" i="55" a="1"/>
  <c r="AN73" i="55" s="1"/>
  <c r="B75" i="57" s="1"/>
  <c r="AR59" i="67" a="1"/>
  <c r="AR59" i="67" s="1"/>
  <c r="B60" i="69"/>
  <c r="L60" i="69" s="1"/>
  <c r="D58" i="69"/>
  <c r="E58" i="69" s="1"/>
  <c r="F58" i="69" s="1"/>
  <c r="G58" i="69" s="1"/>
  <c r="H58" i="69" s="1"/>
  <c r="I58" i="69" s="1"/>
  <c r="J58" i="69" s="1"/>
  <c r="K58" i="69" s="1"/>
  <c r="M58" i="69" s="1"/>
  <c r="AE57" i="69"/>
  <c r="R57" i="69"/>
  <c r="S57" i="69" s="1"/>
  <c r="Y57" i="69" s="1"/>
  <c r="C59" i="69"/>
  <c r="P59" i="69" s="1"/>
  <c r="AP14" i="59" a="1"/>
  <c r="AP14" i="59" s="1"/>
  <c r="E15" i="50" s="1"/>
  <c r="AO16" i="59" a="1"/>
  <c r="AO16" i="59" s="1"/>
  <c r="AO17" i="59" s="1" a="1"/>
  <c r="AO17" i="59" s="1"/>
  <c r="AG56" i="69" l="1"/>
  <c r="X72" i="57"/>
  <c r="AA72" i="57" s="1"/>
  <c r="AG74" i="57"/>
  <c r="AC73" i="57"/>
  <c r="M75" i="53"/>
  <c r="AC75" i="53" s="1"/>
  <c r="O75" i="53"/>
  <c r="AP59" i="69"/>
  <c r="N59" i="69"/>
  <c r="U59" i="69" s="1"/>
  <c r="AA71" i="57"/>
  <c r="AJ73" i="57"/>
  <c r="R73" i="57"/>
  <c r="Q73" i="57"/>
  <c r="T73" i="57" s="1"/>
  <c r="AD73" i="57"/>
  <c r="AF71" i="57"/>
  <c r="AD5" i="50"/>
  <c r="AQ73" i="57"/>
  <c r="AE73" i="57"/>
  <c r="M74" i="57"/>
  <c r="AK74" i="57" s="1"/>
  <c r="P14" i="50"/>
  <c r="Z13" i="50"/>
  <c r="N75" i="53"/>
  <c r="T15" i="50"/>
  <c r="O15" i="50"/>
  <c r="AA73" i="53"/>
  <c r="AB73" i="53"/>
  <c r="AJ13" i="50"/>
  <c r="C13" i="50"/>
  <c r="S14" i="50"/>
  <c r="AJ12" i="50"/>
  <c r="Z12" i="50"/>
  <c r="W12" i="50"/>
  <c r="C12" i="50"/>
  <c r="W13" i="50"/>
  <c r="V12" i="50"/>
  <c r="V13" i="50"/>
  <c r="AF58" i="69"/>
  <c r="Q58" i="69"/>
  <c r="O75" i="57"/>
  <c r="P75" i="57"/>
  <c r="AB57" i="69"/>
  <c r="AG57" i="69"/>
  <c r="AO59" i="69"/>
  <c r="O60" i="69"/>
  <c r="AF73" i="53"/>
  <c r="AE74" i="53"/>
  <c r="R74" i="53"/>
  <c r="X74" i="53" s="1"/>
  <c r="AY58" i="69"/>
  <c r="L75" i="57"/>
  <c r="AH74" i="53"/>
  <c r="AT74" i="53"/>
  <c r="AG74" i="53"/>
  <c r="N75" i="57"/>
  <c r="E75" i="53"/>
  <c r="AH58" i="69"/>
  <c r="AD74" i="53"/>
  <c r="Q74" i="53"/>
  <c r="F75" i="53"/>
  <c r="H75" i="53"/>
  <c r="P75" i="53"/>
  <c r="J75" i="53"/>
  <c r="I75" i="53"/>
  <c r="D75" i="53"/>
  <c r="G75" i="53"/>
  <c r="K75" i="53"/>
  <c r="L75" i="53"/>
  <c r="AK74" i="52" a="1"/>
  <c r="AK74" i="52" s="1"/>
  <c r="B76" i="53" s="1"/>
  <c r="C75" i="53"/>
  <c r="K15" i="50"/>
  <c r="B15" i="50"/>
  <c r="R15" i="50" s="1"/>
  <c r="A15" i="50"/>
  <c r="Q15" i="50" s="1"/>
  <c r="F15" i="50"/>
  <c r="U15" i="50" s="1"/>
  <c r="M15" i="50"/>
  <c r="H15" i="50"/>
  <c r="I15" i="50"/>
  <c r="J15" i="50"/>
  <c r="N15" i="50"/>
  <c r="G15" i="50"/>
  <c r="L15" i="50"/>
  <c r="D75" i="57"/>
  <c r="K75" i="57"/>
  <c r="I75" i="57"/>
  <c r="H75" i="57"/>
  <c r="G75" i="57"/>
  <c r="E75" i="57"/>
  <c r="C75" i="57"/>
  <c r="F75" i="57"/>
  <c r="J75" i="57"/>
  <c r="AN74" i="55" a="1"/>
  <c r="AN74" i="55" s="1"/>
  <c r="B76" i="57" s="1"/>
  <c r="AR60" i="67" a="1"/>
  <c r="AR60" i="67" s="1"/>
  <c r="B61" i="69"/>
  <c r="L61" i="69" s="1"/>
  <c r="D59" i="69"/>
  <c r="E59" i="69" s="1"/>
  <c r="F59" i="69" s="1"/>
  <c r="G59" i="69" s="1"/>
  <c r="H59" i="69" s="1"/>
  <c r="I59" i="69" s="1"/>
  <c r="J59" i="69" s="1"/>
  <c r="K59" i="69" s="1"/>
  <c r="M59" i="69" s="1"/>
  <c r="AE58" i="69"/>
  <c r="R58" i="69"/>
  <c r="S58" i="69" s="1"/>
  <c r="C60" i="69"/>
  <c r="P60" i="69" s="1"/>
  <c r="AP15" i="59" a="1"/>
  <c r="AP15" i="59" s="1"/>
  <c r="E16" i="50" s="1"/>
  <c r="AO18" i="59" a="1"/>
  <c r="AO18" i="59" s="1"/>
  <c r="X73" i="57" l="1"/>
  <c r="AB73" i="57" s="1"/>
  <c r="Y58" i="69"/>
  <c r="AB58" i="69" s="1"/>
  <c r="AC58" i="69" s="1"/>
  <c r="AD58" i="69" s="1"/>
  <c r="AG75" i="57"/>
  <c r="M76" i="53"/>
  <c r="AC76" i="53" s="1"/>
  <c r="O76" i="53"/>
  <c r="AP60" i="69"/>
  <c r="N60" i="69"/>
  <c r="U60" i="69" s="1"/>
  <c r="AF72" i="57"/>
  <c r="AB72" i="57"/>
  <c r="AQ74" i="57"/>
  <c r="AD74" i="57"/>
  <c r="AJ74" i="57"/>
  <c r="R74" i="57"/>
  <c r="Q74" i="57"/>
  <c r="T74" i="57" s="1"/>
  <c r="AC74" i="57"/>
  <c r="AE74" i="57"/>
  <c r="M75" i="57"/>
  <c r="AK75" i="57" s="1"/>
  <c r="P15" i="50"/>
  <c r="N76" i="53"/>
  <c r="O16" i="50"/>
  <c r="T16" i="50"/>
  <c r="AA74" i="53"/>
  <c r="AB74" i="53"/>
  <c r="C14" i="50"/>
  <c r="Z14" i="50"/>
  <c r="AJ14" i="50"/>
  <c r="S15" i="50"/>
  <c r="W14" i="50"/>
  <c r="X13" i="50"/>
  <c r="AD13" i="50" s="1"/>
  <c r="V14" i="50"/>
  <c r="AF59" i="69"/>
  <c r="Q59" i="69"/>
  <c r="O76" i="57"/>
  <c r="P76" i="57"/>
  <c r="AC57" i="69"/>
  <c r="AD57" i="69" s="1"/>
  <c r="AO60" i="69"/>
  <c r="O61" i="69"/>
  <c r="AE75" i="53"/>
  <c r="AF74" i="53"/>
  <c r="R75" i="53"/>
  <c r="X75" i="53" s="1"/>
  <c r="AY59" i="69"/>
  <c r="L76" i="57"/>
  <c r="AG75" i="53"/>
  <c r="AH75" i="53"/>
  <c r="AT75" i="53"/>
  <c r="N76" i="57"/>
  <c r="AH59" i="69"/>
  <c r="AD75" i="53"/>
  <c r="Q75" i="53"/>
  <c r="H76" i="53"/>
  <c r="P76" i="53"/>
  <c r="E76" i="53"/>
  <c r="K76" i="53"/>
  <c r="C76" i="53"/>
  <c r="I76" i="53"/>
  <c r="D76" i="53"/>
  <c r="F76" i="53"/>
  <c r="L76" i="53"/>
  <c r="AK75" i="52" a="1"/>
  <c r="AK75" i="52" s="1"/>
  <c r="B77" i="53" s="1"/>
  <c r="G76" i="53"/>
  <c r="J76" i="53"/>
  <c r="B16" i="50"/>
  <c r="R16" i="50" s="1"/>
  <c r="M16" i="50"/>
  <c r="L16" i="50"/>
  <c r="K16" i="50"/>
  <c r="G16" i="50"/>
  <c r="N16" i="50"/>
  <c r="A16" i="50"/>
  <c r="Q16" i="50" s="1"/>
  <c r="F16" i="50"/>
  <c r="U16" i="50" s="1"/>
  <c r="H16" i="50"/>
  <c r="I16" i="50"/>
  <c r="J16" i="50"/>
  <c r="F76" i="57"/>
  <c r="K76" i="57"/>
  <c r="I76" i="57"/>
  <c r="C76" i="57"/>
  <c r="H76" i="57"/>
  <c r="D76" i="57"/>
  <c r="G76" i="57"/>
  <c r="E76" i="57"/>
  <c r="J76" i="57"/>
  <c r="AN75" i="55" a="1"/>
  <c r="AN75" i="55" s="1"/>
  <c r="B77" i="57" s="1"/>
  <c r="D60" i="69"/>
  <c r="E60" i="69" s="1"/>
  <c r="F60" i="69" s="1"/>
  <c r="G60" i="69" s="1"/>
  <c r="H60" i="69" s="1"/>
  <c r="I60" i="69" s="1"/>
  <c r="J60" i="69" s="1"/>
  <c r="K60" i="69" s="1"/>
  <c r="M60" i="69" s="1"/>
  <c r="AE59" i="69"/>
  <c r="R59" i="69"/>
  <c r="S59" i="69" s="1"/>
  <c r="Y59" i="69" s="1"/>
  <c r="C61" i="69"/>
  <c r="P61" i="69" s="1"/>
  <c r="AR61" i="67" a="1"/>
  <c r="AR61" i="67" s="1"/>
  <c r="B62" i="69"/>
  <c r="L62" i="69" s="1"/>
  <c r="AP16" i="59" a="1"/>
  <c r="AP16" i="59" s="1"/>
  <c r="E17" i="50" s="1"/>
  <c r="AO19" i="59" a="1"/>
  <c r="AO19" i="59" s="1"/>
  <c r="AG58" i="69" l="1"/>
  <c r="X74" i="57"/>
  <c r="AA74" i="57" s="1"/>
  <c r="AG76" i="57"/>
  <c r="AA73" i="57"/>
  <c r="M77" i="53"/>
  <c r="AC77" i="53" s="1"/>
  <c r="O77" i="53"/>
  <c r="AP61" i="69"/>
  <c r="N61" i="69"/>
  <c r="U61" i="69" s="1"/>
  <c r="Q75" i="57"/>
  <c r="T75" i="57" s="1"/>
  <c r="AF73" i="57"/>
  <c r="AQ75" i="57"/>
  <c r="AJ75" i="57"/>
  <c r="R75" i="57"/>
  <c r="AD75" i="57"/>
  <c r="AC75" i="57"/>
  <c r="AE75" i="57"/>
  <c r="M76" i="57"/>
  <c r="AK76" i="57" s="1"/>
  <c r="P16" i="50"/>
  <c r="Z15" i="50"/>
  <c r="N77" i="53"/>
  <c r="O17" i="50"/>
  <c r="T17" i="50"/>
  <c r="AA75" i="53"/>
  <c r="AB75" i="53"/>
  <c r="AJ15" i="50"/>
  <c r="C15" i="50"/>
  <c r="S16" i="50"/>
  <c r="W15" i="50"/>
  <c r="X14" i="50"/>
  <c r="AD14" i="50" s="1"/>
  <c r="V15" i="50"/>
  <c r="AF60" i="69"/>
  <c r="Q60" i="69"/>
  <c r="O77" i="57"/>
  <c r="P77" i="57"/>
  <c r="AB59" i="69"/>
  <c r="AG59" i="69"/>
  <c r="AO61" i="69"/>
  <c r="O62" i="69"/>
  <c r="AE76" i="53"/>
  <c r="AF75" i="53"/>
  <c r="R76" i="53"/>
  <c r="X76" i="53" s="1"/>
  <c r="AY60" i="69"/>
  <c r="L77" i="57"/>
  <c r="AH76" i="53"/>
  <c r="AT76" i="53"/>
  <c r="AG76" i="53"/>
  <c r="N77" i="57"/>
  <c r="C77" i="53"/>
  <c r="AH60" i="69"/>
  <c r="AD76" i="53"/>
  <c r="Q76" i="53"/>
  <c r="L77" i="53"/>
  <c r="I77" i="53"/>
  <c r="J77" i="53"/>
  <c r="D77" i="53"/>
  <c r="K77" i="53"/>
  <c r="F77" i="53"/>
  <c r="G77" i="53"/>
  <c r="AK76" i="52" a="1"/>
  <c r="AK76" i="52" s="1"/>
  <c r="B78" i="53" s="1"/>
  <c r="P77" i="53"/>
  <c r="H77" i="53"/>
  <c r="E77" i="53"/>
  <c r="M17" i="50"/>
  <c r="K17" i="50"/>
  <c r="H17" i="50"/>
  <c r="N17" i="50"/>
  <c r="B17" i="50"/>
  <c r="R17" i="50" s="1"/>
  <c r="L17" i="50"/>
  <c r="G17" i="50"/>
  <c r="I17" i="50"/>
  <c r="A17" i="50"/>
  <c r="Q17" i="50" s="1"/>
  <c r="J17" i="50"/>
  <c r="F17" i="50"/>
  <c r="U17" i="50" s="1"/>
  <c r="K77" i="57"/>
  <c r="G77" i="57"/>
  <c r="E77" i="57"/>
  <c r="D77" i="57"/>
  <c r="C77" i="57"/>
  <c r="I77" i="57"/>
  <c r="H77" i="57"/>
  <c r="F77" i="57"/>
  <c r="J77" i="57"/>
  <c r="AN76" i="55" a="1"/>
  <c r="AN76" i="55" s="1"/>
  <c r="B78" i="57" s="1"/>
  <c r="AR62" i="67" a="1"/>
  <c r="AR62" i="67" s="1"/>
  <c r="B63" i="69"/>
  <c r="L63" i="69" s="1"/>
  <c r="AE60" i="69"/>
  <c r="R60" i="69"/>
  <c r="S60" i="69" s="1"/>
  <c r="Y60" i="69" s="1"/>
  <c r="C62" i="69"/>
  <c r="P62" i="69" s="1"/>
  <c r="D61" i="69"/>
  <c r="E61" i="69" s="1"/>
  <c r="F61" i="69" s="1"/>
  <c r="G61" i="69" s="1"/>
  <c r="H61" i="69" s="1"/>
  <c r="I61" i="69" s="1"/>
  <c r="J61" i="69" s="1"/>
  <c r="K61" i="69" s="1"/>
  <c r="M61" i="69" s="1"/>
  <c r="AP17" i="59" a="1"/>
  <c r="AP17" i="59" s="1"/>
  <c r="E18" i="50" s="1"/>
  <c r="AO20" i="59" a="1"/>
  <c r="AO20" i="59" s="1"/>
  <c r="AO21" i="59" s="1" a="1"/>
  <c r="AO21" i="59" s="1"/>
  <c r="AO22" i="59" s="1" a="1"/>
  <c r="AO22" i="59" s="1"/>
  <c r="AO23" i="59" s="1" a="1"/>
  <c r="AO23" i="59" s="1"/>
  <c r="AO24" i="59" s="1" a="1"/>
  <c r="AO24" i="59" s="1"/>
  <c r="AO25" i="59" s="1" a="1"/>
  <c r="AO25" i="59" s="1"/>
  <c r="AO26" i="59" s="1" a="1"/>
  <c r="AO26" i="59" s="1"/>
  <c r="AO27" i="59" s="1" a="1"/>
  <c r="AO27" i="59" s="1"/>
  <c r="AO28" i="59" s="1" a="1"/>
  <c r="AO28" i="59" s="1"/>
  <c r="AO29" i="59" s="1" a="1"/>
  <c r="AO29" i="59" s="1"/>
  <c r="AO30" i="59" s="1" a="1"/>
  <c r="AO30" i="59" s="1"/>
  <c r="AO31" i="59" s="1" a="1"/>
  <c r="AO31" i="59" s="1"/>
  <c r="AO32" i="59" s="1" a="1"/>
  <c r="AO32" i="59" s="1"/>
  <c r="AO33" i="59" s="1" a="1"/>
  <c r="AO33" i="59" s="1"/>
  <c r="AO34" i="59" s="1" a="1"/>
  <c r="AO34" i="59" s="1"/>
  <c r="AO35" i="59" s="1" a="1"/>
  <c r="AO35" i="59" s="1"/>
  <c r="AO36" i="59" s="1" a="1"/>
  <c r="AO36" i="59" s="1"/>
  <c r="AO37" i="59" s="1" a="1"/>
  <c r="AO37" i="59" s="1"/>
  <c r="AO38" i="59" s="1" a="1"/>
  <c r="AO38" i="59" s="1"/>
  <c r="AO39" i="59" s="1" a="1"/>
  <c r="AO39" i="59" s="1"/>
  <c r="AO40" i="59" s="1" a="1"/>
  <c r="AO40" i="59" s="1"/>
  <c r="AO41" i="59" s="1" a="1"/>
  <c r="AO41" i="59" s="1"/>
  <c r="AO42" i="59" s="1" a="1"/>
  <c r="AO42" i="59" s="1"/>
  <c r="AO43" i="59" s="1" a="1"/>
  <c r="AO43" i="59" s="1"/>
  <c r="AO44" i="59" s="1" a="1"/>
  <c r="AO44" i="59" s="1"/>
  <c r="AO45" i="59" s="1" a="1"/>
  <c r="AO45" i="59" s="1"/>
  <c r="AO46" i="59" s="1" a="1"/>
  <c r="AO46" i="59" s="1"/>
  <c r="AO47" i="59" s="1" a="1"/>
  <c r="AO47" i="59" s="1"/>
  <c r="AO48" i="59" s="1" a="1"/>
  <c r="AO48" i="59" s="1"/>
  <c r="AO49" i="59" s="1" a="1"/>
  <c r="AO49" i="59" s="1"/>
  <c r="AO50" i="59" s="1" a="1"/>
  <c r="AO50" i="59" s="1"/>
  <c r="AO51" i="59" s="1" a="1"/>
  <c r="AO51" i="59" s="1"/>
  <c r="AO52" i="59" s="1" a="1"/>
  <c r="AO52" i="59" s="1"/>
  <c r="AO53" i="59" s="1" a="1"/>
  <c r="AO53" i="59" s="1"/>
  <c r="AO54" i="59" s="1" a="1"/>
  <c r="AO54" i="59" s="1"/>
  <c r="AO55" i="59" s="1" a="1"/>
  <c r="AO55" i="59" s="1"/>
  <c r="AO56" i="59" s="1" a="1"/>
  <c r="AO56" i="59" s="1"/>
  <c r="AO57" i="59" s="1" a="1"/>
  <c r="AO57" i="59" s="1"/>
  <c r="AO58" i="59" s="1" a="1"/>
  <c r="AO58" i="59" s="1"/>
  <c r="AO59" i="59" s="1" a="1"/>
  <c r="AO59" i="59" s="1"/>
  <c r="AO60" i="59" s="1" a="1"/>
  <c r="AO60" i="59" s="1"/>
  <c r="AO61" i="59" s="1" a="1"/>
  <c r="AO61" i="59" s="1"/>
  <c r="AO62" i="59" s="1" a="1"/>
  <c r="AO62" i="59" s="1"/>
  <c r="AO63" i="59" s="1" a="1"/>
  <c r="AO63" i="59" s="1"/>
  <c r="AO64" i="59" s="1" a="1"/>
  <c r="AO64" i="59" s="1"/>
  <c r="AO65" i="59" s="1" a="1"/>
  <c r="AO65" i="59" s="1"/>
  <c r="AO66" i="59" s="1" a="1"/>
  <c r="AO66" i="59" s="1"/>
  <c r="AO67" i="59" s="1" a="1"/>
  <c r="AO67" i="59" s="1"/>
  <c r="AO68" i="59" s="1" a="1"/>
  <c r="AO68" i="59" s="1"/>
  <c r="AO69" i="59" s="1" a="1"/>
  <c r="AO69" i="59" s="1"/>
  <c r="AO70" i="59" s="1" a="1"/>
  <c r="AO70" i="59" s="1"/>
  <c r="AO71" i="59" s="1" a="1"/>
  <c r="AO71" i="59" s="1"/>
  <c r="AO72" i="59" s="1" a="1"/>
  <c r="AO72" i="59" s="1"/>
  <c r="AO73" i="59" s="1" a="1"/>
  <c r="AO73" i="59" s="1"/>
  <c r="AO74" i="59" s="1" a="1"/>
  <c r="AO74" i="59" s="1"/>
  <c r="AO75" i="59" s="1" a="1"/>
  <c r="AO75" i="59" s="1"/>
  <c r="AO76" i="59" s="1" a="1"/>
  <c r="AO76" i="59" s="1"/>
  <c r="AO77" i="59" s="1" a="1"/>
  <c r="AO77" i="59" s="1"/>
  <c r="AO78" i="59" s="1" a="1"/>
  <c r="AO78" i="59" s="1"/>
  <c r="AO79" i="59" s="1" a="1"/>
  <c r="AO79" i="59" s="1"/>
  <c r="AO80" i="59" s="1" a="1"/>
  <c r="AO80" i="59" s="1"/>
  <c r="AO81" i="59" s="1" a="1"/>
  <c r="AO81" i="59" s="1"/>
  <c r="AO82" i="59" s="1" a="1"/>
  <c r="AO82" i="59" s="1"/>
  <c r="AO83" i="59" s="1" a="1"/>
  <c r="AO83" i="59" s="1"/>
  <c r="AO84" i="59" s="1" a="1"/>
  <c r="AO84" i="59" s="1"/>
  <c r="AO85" i="59" s="1" a="1"/>
  <c r="AO85" i="59" s="1"/>
  <c r="AO86" i="59" s="1" a="1"/>
  <c r="AO86" i="59" s="1"/>
  <c r="AO87" i="59" s="1" a="1"/>
  <c r="AO87" i="59" s="1"/>
  <c r="AO88" i="59" s="1" a="1"/>
  <c r="AO88" i="59" s="1"/>
  <c r="AO89" i="59" s="1" a="1"/>
  <c r="AO89" i="59" s="1"/>
  <c r="AO90" i="59" s="1" a="1"/>
  <c r="AO90" i="59" s="1"/>
  <c r="AO91" i="59" s="1" a="1"/>
  <c r="AO91" i="59" s="1"/>
  <c r="AO92" i="59" s="1" a="1"/>
  <c r="AO92" i="59" s="1"/>
  <c r="AO93" i="59" s="1" a="1"/>
  <c r="AO93" i="59" s="1"/>
  <c r="AO94" i="59" s="1" a="1"/>
  <c r="AO94" i="59" s="1"/>
  <c r="AO95" i="59" s="1" a="1"/>
  <c r="AO95" i="59" s="1"/>
  <c r="AO96" i="59" s="1" a="1"/>
  <c r="AO96" i="59" s="1"/>
  <c r="AO97" i="59" s="1" a="1"/>
  <c r="AO97" i="59" s="1"/>
  <c r="AO98" i="59" s="1" a="1"/>
  <c r="AO98" i="59" s="1"/>
  <c r="AO99" i="59" s="1" a="1"/>
  <c r="AO99" i="59" s="1"/>
  <c r="AO100" i="59" s="1" a="1"/>
  <c r="AO100" i="59" s="1"/>
  <c r="AO101" i="59" s="1" a="1"/>
  <c r="AO101" i="59" s="1"/>
  <c r="AO102" i="59" s="1" a="1"/>
  <c r="AO102" i="59" s="1"/>
  <c r="AO103" i="59" s="1" a="1"/>
  <c r="AO103" i="59" s="1"/>
  <c r="AO104" i="59" s="1" a="1"/>
  <c r="AO104" i="59" s="1"/>
  <c r="AO105" i="59" s="1" a="1"/>
  <c r="AO105" i="59" s="1"/>
  <c r="AO106" i="59" s="1" a="1"/>
  <c r="AO106" i="59" s="1"/>
  <c r="AO107" i="59" s="1" a="1"/>
  <c r="AO107" i="59" s="1"/>
  <c r="AO108" i="59" s="1" a="1"/>
  <c r="AO108" i="59" s="1"/>
  <c r="AO109" i="59" s="1" a="1"/>
  <c r="AO109" i="59" s="1"/>
  <c r="AO110" i="59" s="1" a="1"/>
  <c r="AO110" i="59" s="1"/>
  <c r="AO111" i="59" s="1" a="1"/>
  <c r="AO111" i="59" s="1"/>
  <c r="AO112" i="59" s="1" a="1"/>
  <c r="AO112" i="59" s="1"/>
  <c r="AO113" i="59" s="1" a="1"/>
  <c r="AO113" i="59" s="1"/>
  <c r="AO114" i="59" s="1" a="1"/>
  <c r="AO114" i="59" s="1"/>
  <c r="AO115" i="59" s="1" a="1"/>
  <c r="AO115" i="59" s="1"/>
  <c r="AO116" i="59" s="1" a="1"/>
  <c r="AO116" i="59" s="1"/>
  <c r="AO117" i="59" s="1" a="1"/>
  <c r="AO117" i="59" s="1"/>
  <c r="AO118" i="59" s="1" a="1"/>
  <c r="AO118" i="59" s="1"/>
  <c r="AO119" i="59" s="1" a="1"/>
  <c r="AO119" i="59" s="1"/>
  <c r="AO120" i="59" s="1" a="1"/>
  <c r="AO120" i="59" s="1"/>
  <c r="AO121" i="59" s="1" a="1"/>
  <c r="AO121" i="59" s="1"/>
  <c r="AO122" i="59" s="1" a="1"/>
  <c r="AO122" i="59" s="1"/>
  <c r="AO123" i="59" s="1" a="1"/>
  <c r="AO123" i="59" s="1"/>
  <c r="AO124" i="59" s="1" a="1"/>
  <c r="AO124" i="59" s="1"/>
  <c r="AO125" i="59" s="1" a="1"/>
  <c r="AO125" i="59" s="1"/>
  <c r="AO126" i="59" s="1" a="1"/>
  <c r="AO126" i="59" s="1"/>
  <c r="AO127" i="59" s="1" a="1"/>
  <c r="AO127" i="59" s="1"/>
  <c r="AO128" i="59" s="1" a="1"/>
  <c r="AO128" i="59" s="1"/>
  <c r="AO129" i="59" s="1" a="1"/>
  <c r="AO129" i="59" s="1"/>
  <c r="AO130" i="59" s="1" a="1"/>
  <c r="AO130" i="59" s="1"/>
  <c r="AO131" i="59" s="1" a="1"/>
  <c r="AO131" i="59" s="1"/>
  <c r="AO132" i="59" s="1" a="1"/>
  <c r="AO132" i="59" s="1"/>
  <c r="AO133" i="59" s="1" a="1"/>
  <c r="AO133" i="59" s="1"/>
  <c r="AO134" i="59" s="1" a="1"/>
  <c r="AO134" i="59" s="1"/>
  <c r="AO135" i="59" s="1" a="1"/>
  <c r="AO135" i="59" s="1"/>
  <c r="AO136" i="59" s="1" a="1"/>
  <c r="AO136" i="59" s="1"/>
  <c r="AO137" i="59" s="1" a="1"/>
  <c r="AO137" i="59" s="1"/>
  <c r="AO138" i="59" s="1" a="1"/>
  <c r="AO138" i="59" s="1"/>
  <c r="AO139" i="59" s="1" a="1"/>
  <c r="AO139" i="59" s="1"/>
  <c r="AO140" i="59" s="1" a="1"/>
  <c r="AO140" i="59" s="1"/>
  <c r="AO141" i="59" s="1" a="1"/>
  <c r="AO141" i="59" s="1"/>
  <c r="AO142" i="59" s="1" a="1"/>
  <c r="AO142" i="59" s="1"/>
  <c r="AO143" i="59" s="1" a="1"/>
  <c r="AO143" i="59" s="1"/>
  <c r="AO144" i="59" s="1" a="1"/>
  <c r="AO144" i="59" s="1"/>
  <c r="AO145" i="59" s="1" a="1"/>
  <c r="AO145" i="59" s="1"/>
  <c r="AO146" i="59" s="1" a="1"/>
  <c r="AO146" i="59" s="1"/>
  <c r="AO147" i="59" s="1" a="1"/>
  <c r="AO147" i="59" s="1"/>
  <c r="AO148" i="59" s="1" a="1"/>
  <c r="AO148" i="59" s="1"/>
  <c r="AO149" i="59" s="1" a="1"/>
  <c r="AO149" i="59" s="1"/>
  <c r="AO150" i="59" s="1" a="1"/>
  <c r="AO150" i="59" s="1"/>
  <c r="AO151" i="59" s="1" a="1"/>
  <c r="AO151" i="59" s="1"/>
  <c r="AO152" i="59" s="1" a="1"/>
  <c r="AO152" i="59" s="1"/>
  <c r="AO153" i="59" s="1" a="1"/>
  <c r="AO153" i="59" s="1"/>
  <c r="AO154" i="59" s="1" a="1"/>
  <c r="AO154" i="59" s="1"/>
  <c r="AO155" i="59" s="1" a="1"/>
  <c r="AO155" i="59" s="1"/>
  <c r="AO156" i="59" s="1" a="1"/>
  <c r="AO156" i="59" s="1"/>
  <c r="AO157" i="59" s="1" a="1"/>
  <c r="AO157" i="59" s="1"/>
  <c r="AO158" i="59" s="1" a="1"/>
  <c r="AO158" i="59" s="1"/>
  <c r="AO159" i="59" s="1" a="1"/>
  <c r="AO159" i="59" s="1"/>
  <c r="AO160" i="59" s="1" a="1"/>
  <c r="AO160" i="59" s="1"/>
  <c r="AO161" i="59" s="1" a="1"/>
  <c r="AO161" i="59" s="1"/>
  <c r="AO162" i="59" s="1" a="1"/>
  <c r="AO162" i="59" s="1"/>
  <c r="AO163" i="59" s="1" a="1"/>
  <c r="AO163" i="59" s="1"/>
  <c r="AO164" i="59" s="1" a="1"/>
  <c r="AO164" i="59" s="1"/>
  <c r="AO165" i="59" s="1" a="1"/>
  <c r="AO165" i="59" s="1"/>
  <c r="AO166" i="59" s="1" a="1"/>
  <c r="AO166" i="59" s="1"/>
  <c r="AO167" i="59" s="1" a="1"/>
  <c r="AO167" i="59" s="1"/>
  <c r="AO168" i="59" s="1" a="1"/>
  <c r="AO168" i="59" s="1"/>
  <c r="AO169" i="59" s="1" a="1"/>
  <c r="AO169" i="59" s="1"/>
  <c r="AO170" i="59" s="1" a="1"/>
  <c r="AO170" i="59" s="1"/>
  <c r="AO171" i="59" s="1" a="1"/>
  <c r="AO171" i="59" s="1"/>
  <c r="AO172" i="59" s="1" a="1"/>
  <c r="AO172" i="59" s="1"/>
  <c r="AO173" i="59" s="1" a="1"/>
  <c r="AO173" i="59" s="1"/>
  <c r="AO174" i="59" s="1" a="1"/>
  <c r="AO174" i="59" s="1"/>
  <c r="AO175" i="59" s="1" a="1"/>
  <c r="AO175" i="59" s="1"/>
  <c r="AO176" i="59" s="1" a="1"/>
  <c r="AO176" i="59" s="1"/>
  <c r="AO177" i="59" s="1" a="1"/>
  <c r="AO177" i="59" s="1"/>
  <c r="AO178" i="59" s="1" a="1"/>
  <c r="AO178" i="59" s="1"/>
  <c r="AO179" i="59" s="1" a="1"/>
  <c r="AO179" i="59" s="1"/>
  <c r="AO180" i="59" s="1" a="1"/>
  <c r="AO180" i="59" s="1"/>
  <c r="AO181" i="59" s="1" a="1"/>
  <c r="AO181" i="59" s="1"/>
  <c r="AO182" i="59" s="1" a="1"/>
  <c r="AO182" i="59" s="1"/>
  <c r="AO183" i="59" s="1" a="1"/>
  <c r="AO183" i="59" s="1"/>
  <c r="AO184" i="59" s="1" a="1"/>
  <c r="AO184" i="59" s="1"/>
  <c r="AO185" i="59" s="1" a="1"/>
  <c r="AO185" i="59" s="1"/>
  <c r="AO186" i="59" s="1" a="1"/>
  <c r="AO186" i="59" s="1"/>
  <c r="AO187" i="59" s="1" a="1"/>
  <c r="AO187" i="59" s="1"/>
  <c r="AO188" i="59" s="1" a="1"/>
  <c r="AO188" i="59" s="1"/>
  <c r="AO189" i="59" s="1" a="1"/>
  <c r="AO189" i="59" s="1"/>
  <c r="AO190" i="59" s="1" a="1"/>
  <c r="AO190" i="59" s="1"/>
  <c r="AO191" i="59" s="1" a="1"/>
  <c r="AO191" i="59" s="1"/>
  <c r="AO192" i="59" s="1" a="1"/>
  <c r="AO192" i="59" s="1"/>
  <c r="AO193" i="59" s="1" a="1"/>
  <c r="AO193" i="59" s="1"/>
  <c r="AO194" i="59" s="1" a="1"/>
  <c r="AO194" i="59" s="1"/>
  <c r="AO195" i="59" s="1" a="1"/>
  <c r="AO195" i="59" s="1"/>
  <c r="AO196" i="59" s="1" a="1"/>
  <c r="AO196" i="59" s="1"/>
  <c r="AO197" i="59" s="1" a="1"/>
  <c r="AO197" i="59" s="1"/>
  <c r="AO198" i="59" s="1" a="1"/>
  <c r="AO198" i="59" s="1"/>
  <c r="AO199" i="59" s="1" a="1"/>
  <c r="AO199" i="59" s="1"/>
  <c r="AO200" i="59" s="1" a="1"/>
  <c r="AO200" i="59" s="1"/>
  <c r="AO201" i="59" s="1" a="1"/>
  <c r="AO201" i="59" s="1"/>
  <c r="AO202" i="59" s="1" a="1"/>
  <c r="AO202" i="59" s="1"/>
  <c r="AO203" i="59" s="1" a="1"/>
  <c r="AO203" i="59" s="1"/>
  <c r="AO204" i="59" s="1" a="1"/>
  <c r="AO204" i="59" s="1"/>
  <c r="AO205" i="59" s="1" a="1"/>
  <c r="AO205" i="59" s="1"/>
  <c r="AO206" i="59" s="1" a="1"/>
  <c r="AO206" i="59" s="1"/>
  <c r="AO207" i="59" s="1" a="1"/>
  <c r="AO207" i="59" s="1"/>
  <c r="AO208" i="59" s="1" a="1"/>
  <c r="AO208" i="59" s="1"/>
  <c r="AO209" i="59" s="1" a="1"/>
  <c r="AO209" i="59" s="1"/>
  <c r="AO210" i="59" s="1" a="1"/>
  <c r="AO210" i="59" s="1"/>
  <c r="AO211" i="59" s="1" a="1"/>
  <c r="AO211" i="59" s="1"/>
  <c r="AO212" i="59" s="1" a="1"/>
  <c r="AO212" i="59" s="1"/>
  <c r="AO213" i="59" s="1" a="1"/>
  <c r="AO213" i="59" s="1"/>
  <c r="AO214" i="59" s="1" a="1"/>
  <c r="AO214" i="59" s="1"/>
  <c r="AO215" i="59" s="1" a="1"/>
  <c r="AO215" i="59" s="1"/>
  <c r="AO216" i="59" s="1" a="1"/>
  <c r="AO216" i="59" s="1"/>
  <c r="AO217" i="59" s="1" a="1"/>
  <c r="AO217" i="59" s="1"/>
  <c r="AO218" i="59" s="1" a="1"/>
  <c r="AO218" i="59" s="1"/>
  <c r="AO219" i="59" s="1" a="1"/>
  <c r="AO219" i="59" s="1"/>
  <c r="AO220" i="59" s="1" a="1"/>
  <c r="AO220" i="59" s="1"/>
  <c r="AO221" i="59" s="1" a="1"/>
  <c r="AO221" i="59" s="1"/>
  <c r="AO222" i="59" s="1" a="1"/>
  <c r="AO222" i="59" s="1"/>
  <c r="AO223" i="59" s="1" a="1"/>
  <c r="AO223" i="59" s="1"/>
  <c r="AO224" i="59" s="1" a="1"/>
  <c r="AO224" i="59" s="1"/>
  <c r="AO225" i="59" s="1" a="1"/>
  <c r="AO225" i="59" s="1"/>
  <c r="AO226" i="59" s="1" a="1"/>
  <c r="AO226" i="59" s="1"/>
  <c r="AO227" i="59" s="1" a="1"/>
  <c r="AO227" i="59" s="1"/>
  <c r="AO228" i="59" s="1" a="1"/>
  <c r="AO228" i="59" s="1"/>
  <c r="AO229" i="59" s="1" a="1"/>
  <c r="AO229" i="59" s="1"/>
  <c r="AO230" i="59" s="1" a="1"/>
  <c r="AO230" i="59" s="1"/>
  <c r="AO231" i="59" s="1" a="1"/>
  <c r="AO231" i="59" s="1"/>
  <c r="AO232" i="59" s="1" a="1"/>
  <c r="AO232" i="59" s="1"/>
  <c r="AO233" i="59" s="1" a="1"/>
  <c r="AO233" i="59" s="1"/>
  <c r="AO234" i="59" s="1" a="1"/>
  <c r="AO234" i="59" s="1"/>
  <c r="AO235" i="59" s="1" a="1"/>
  <c r="AO235" i="59" s="1"/>
  <c r="AO236" i="59" s="1" a="1"/>
  <c r="AO236" i="59" s="1"/>
  <c r="AO237" i="59" s="1" a="1"/>
  <c r="AO237" i="59" s="1"/>
  <c r="AO238" i="59" s="1" a="1"/>
  <c r="AO238" i="59" s="1"/>
  <c r="AO239" i="59" s="1" a="1"/>
  <c r="AO239" i="59" s="1"/>
  <c r="AO240" i="59" s="1" a="1"/>
  <c r="AO240" i="59" s="1"/>
  <c r="AO241" i="59" s="1" a="1"/>
  <c r="AO241" i="59" s="1"/>
  <c r="AO242" i="59" s="1" a="1"/>
  <c r="AO242" i="59" s="1"/>
  <c r="AO243" i="59" s="1" a="1"/>
  <c r="AO243" i="59" s="1"/>
  <c r="AO244" i="59" s="1" a="1"/>
  <c r="AO244" i="59" s="1"/>
  <c r="AO245" i="59" s="1" a="1"/>
  <c r="AO245" i="59" s="1"/>
  <c r="AO246" i="59" s="1" a="1"/>
  <c r="AO246" i="59" s="1"/>
  <c r="AO247" i="59" s="1" a="1"/>
  <c r="AO247" i="59" s="1"/>
  <c r="AO248" i="59" s="1" a="1"/>
  <c r="AO248" i="59" s="1"/>
  <c r="AO249" i="59" s="1" a="1"/>
  <c r="AO249" i="59" s="1"/>
  <c r="AO250" i="59" s="1" a="1"/>
  <c r="AO250" i="59" s="1"/>
  <c r="AO251" i="59" s="1" a="1"/>
  <c r="AO251" i="59" s="1"/>
  <c r="AO252" i="59" s="1" a="1"/>
  <c r="AO252" i="59" s="1"/>
  <c r="AO253" i="59" s="1" a="1"/>
  <c r="AO253" i="59" s="1"/>
  <c r="AO254" i="59" s="1" a="1"/>
  <c r="AO254" i="59" s="1"/>
  <c r="AO255" i="59" s="1" a="1"/>
  <c r="AO255" i="59" s="1"/>
  <c r="AO256" i="59" s="1" a="1"/>
  <c r="AO256" i="59" s="1"/>
  <c r="AO257" i="59" s="1" a="1"/>
  <c r="AO257" i="59" s="1"/>
  <c r="AO258" i="59" s="1" a="1"/>
  <c r="AO258" i="59" s="1"/>
  <c r="I104" i="22"/>
  <c r="AG77" i="57" l="1"/>
  <c r="X75" i="57"/>
  <c r="AB75" i="57" s="1"/>
  <c r="M78" i="53"/>
  <c r="AC78" i="53" s="1"/>
  <c r="O78" i="53"/>
  <c r="AP62" i="69"/>
  <c r="N62" i="69"/>
  <c r="U62" i="69" s="1"/>
  <c r="AQ76" i="57"/>
  <c r="AF74" i="57"/>
  <c r="AB74" i="57"/>
  <c r="AD76" i="57"/>
  <c r="AJ76" i="57"/>
  <c r="R76" i="57"/>
  <c r="Q76" i="57"/>
  <c r="T76" i="57" s="1"/>
  <c r="AE76" i="57"/>
  <c r="AC76" i="57"/>
  <c r="M77" i="57"/>
  <c r="AK77" i="57" s="1"/>
  <c r="P17" i="50"/>
  <c r="Z16" i="50"/>
  <c r="N78" i="53"/>
  <c r="T18" i="50"/>
  <c r="O18" i="50"/>
  <c r="AA76" i="53"/>
  <c r="AB76" i="53"/>
  <c r="AG13" i="50"/>
  <c r="AH13" i="50" s="1"/>
  <c r="AI13" i="50" s="1"/>
  <c r="AJ16" i="50"/>
  <c r="C16" i="50"/>
  <c r="S17" i="50"/>
  <c r="AK13" i="50"/>
  <c r="W16" i="50"/>
  <c r="X15" i="50"/>
  <c r="AD15" i="50" s="1"/>
  <c r="V16" i="50"/>
  <c r="AF61" i="69"/>
  <c r="Q61" i="69"/>
  <c r="O78" i="57"/>
  <c r="P78" i="57"/>
  <c r="AC59" i="69"/>
  <c r="AD59" i="69" s="1"/>
  <c r="AB60" i="69"/>
  <c r="AG60" i="69"/>
  <c r="AO62" i="69"/>
  <c r="O63" i="69"/>
  <c r="AE77" i="53"/>
  <c r="AF76" i="53"/>
  <c r="R77" i="53"/>
  <c r="X77" i="53" s="1"/>
  <c r="D4" i="22"/>
  <c r="AY61" i="69"/>
  <c r="L78" i="57"/>
  <c r="AG77" i="53"/>
  <c r="AH77" i="53"/>
  <c r="AT77" i="53"/>
  <c r="N78" i="57"/>
  <c r="P78" i="53"/>
  <c r="AH61" i="69"/>
  <c r="AD77" i="53"/>
  <c r="Q77" i="53"/>
  <c r="J78" i="53"/>
  <c r="C78" i="53"/>
  <c r="F78" i="53"/>
  <c r="G78" i="53"/>
  <c r="K78" i="53"/>
  <c r="L78" i="53"/>
  <c r="E78" i="53"/>
  <c r="D78" i="53"/>
  <c r="AK77" i="52" a="1"/>
  <c r="AK77" i="52" s="1"/>
  <c r="B79" i="53" s="1"/>
  <c r="H78" i="53"/>
  <c r="I78" i="53"/>
  <c r="F18" i="50"/>
  <c r="U18" i="50" s="1"/>
  <c r="L18" i="50"/>
  <c r="M18" i="50"/>
  <c r="B18" i="50"/>
  <c r="R18" i="50" s="1"/>
  <c r="A18" i="50"/>
  <c r="Q18" i="50" s="1"/>
  <c r="J18" i="50"/>
  <c r="H18" i="50"/>
  <c r="I18" i="50"/>
  <c r="N18" i="50"/>
  <c r="K18" i="50"/>
  <c r="G18" i="50"/>
  <c r="J78" i="57"/>
  <c r="E78" i="57"/>
  <c r="D78" i="57"/>
  <c r="G78" i="57"/>
  <c r="I78" i="57"/>
  <c r="C78" i="57"/>
  <c r="K78" i="57"/>
  <c r="F78" i="57"/>
  <c r="H78" i="57"/>
  <c r="AN77" i="55" a="1"/>
  <c r="AN77" i="55" s="1"/>
  <c r="B79" i="57" s="1"/>
  <c r="AE61" i="69"/>
  <c r="R61" i="69"/>
  <c r="S61" i="69" s="1"/>
  <c r="Y61" i="69" s="1"/>
  <c r="D62" i="69"/>
  <c r="E62" i="69" s="1"/>
  <c r="F62" i="69" s="1"/>
  <c r="G62" i="69" s="1"/>
  <c r="H62" i="69" s="1"/>
  <c r="I62" i="69" s="1"/>
  <c r="J62" i="69" s="1"/>
  <c r="K62" i="69" s="1"/>
  <c r="M62" i="69" s="1"/>
  <c r="C63" i="69"/>
  <c r="P63" i="69" s="1"/>
  <c r="AR63" i="67" a="1"/>
  <c r="AR63" i="67" s="1"/>
  <c r="B64" i="69"/>
  <c r="L64" i="69" s="1"/>
  <c r="I103" i="22"/>
  <c r="I27" i="22"/>
  <c r="I45" i="22"/>
  <c r="I65" i="22"/>
  <c r="I69" i="22"/>
  <c r="I78" i="22"/>
  <c r="I39" i="22"/>
  <c r="I67" i="22"/>
  <c r="I71" i="22"/>
  <c r="I81" i="22"/>
  <c r="I99" i="22"/>
  <c r="I35" i="22"/>
  <c r="I68" i="22"/>
  <c r="I72" i="22"/>
  <c r="I74" i="22"/>
  <c r="I77" i="22"/>
  <c r="I42" i="22"/>
  <c r="I79" i="22"/>
  <c r="I91" i="22"/>
  <c r="I61" i="22"/>
  <c r="AP18" i="59" a="1"/>
  <c r="AP18" i="59" s="1"/>
  <c r="E19" i="50" s="1"/>
  <c r="AC17" i="11"/>
  <c r="Q17" i="11" s="1"/>
  <c r="X17" i="11" s="1"/>
  <c r="AC14" i="11"/>
  <c r="AC20" i="11"/>
  <c r="Q20" i="11" s="1"/>
  <c r="AC32" i="11"/>
  <c r="AC44" i="11"/>
  <c r="AC60" i="11"/>
  <c r="AC76" i="11"/>
  <c r="AC92" i="11"/>
  <c r="AC108" i="11"/>
  <c r="AC120" i="11"/>
  <c r="AC136" i="11"/>
  <c r="AC148" i="11"/>
  <c r="AC164" i="11"/>
  <c r="AC184" i="11"/>
  <c r="AC192" i="11"/>
  <c r="AC208" i="11"/>
  <c r="AC224" i="11"/>
  <c r="AC244" i="11"/>
  <c r="AC256" i="11"/>
  <c r="AC16" i="11"/>
  <c r="Q16" i="11" s="1"/>
  <c r="AC25" i="11"/>
  <c r="Q25" i="11" s="1"/>
  <c r="AC29" i="11"/>
  <c r="AC33" i="11"/>
  <c r="AQ33" i="11" s="1"/>
  <c r="AC37" i="11"/>
  <c r="AC41" i="11"/>
  <c r="AC45" i="11"/>
  <c r="AC49" i="11"/>
  <c r="AC53" i="11"/>
  <c r="AC57" i="11"/>
  <c r="AC61" i="11"/>
  <c r="AC65" i="11"/>
  <c r="AC73" i="11"/>
  <c r="AC77" i="11"/>
  <c r="AC81" i="1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Q28" i="11" s="1"/>
  <c r="AC48" i="11"/>
  <c r="AC56" i="11"/>
  <c r="AC72" i="11"/>
  <c r="AQ72" i="11" s="1"/>
  <c r="AC88" i="11"/>
  <c r="AC104" i="11"/>
  <c r="AQ104" i="11" s="1"/>
  <c r="AC116" i="11"/>
  <c r="AC132" i="11"/>
  <c r="AC152" i="11"/>
  <c r="AC168" i="11"/>
  <c r="AC180" i="11"/>
  <c r="AC196" i="11"/>
  <c r="AC212" i="11"/>
  <c r="AC228" i="11"/>
  <c r="AC240" i="11"/>
  <c r="AC252" i="11"/>
  <c r="AC26" i="11"/>
  <c r="Q26" i="11" s="1"/>
  <c r="F104" i="22" s="1"/>
  <c r="AC34" i="11"/>
  <c r="AC46" i="11"/>
  <c r="AC58" i="11"/>
  <c r="AC66" i="11"/>
  <c r="AC74" i="11"/>
  <c r="AC78" i="1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AC24" i="11"/>
  <c r="Q24" i="11" s="1"/>
  <c r="AC36" i="11"/>
  <c r="AC40" i="11"/>
  <c r="AC52" i="11"/>
  <c r="AC64" i="11"/>
  <c r="AC68" i="11"/>
  <c r="AC80" i="1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Q22" i="11" s="1"/>
  <c r="X22" i="11" s="1"/>
  <c r="AC30" i="11"/>
  <c r="AC38" i="11"/>
  <c r="AC42" i="11"/>
  <c r="AC50" i="11"/>
  <c r="AC54" i="11"/>
  <c r="AC62" i="11"/>
  <c r="AC23" i="11"/>
  <c r="Q23" i="11" s="1"/>
  <c r="X23" i="11" s="1"/>
  <c r="AC27" i="11"/>
  <c r="AC31" i="11"/>
  <c r="AC35" i="11"/>
  <c r="AC39" i="11"/>
  <c r="AC43" i="11"/>
  <c r="AC47" i="11"/>
  <c r="AC51" i="11"/>
  <c r="AC55" i="11"/>
  <c r="AC59" i="11"/>
  <c r="AC63" i="11"/>
  <c r="AC67" i="11"/>
  <c r="AC71" i="11"/>
  <c r="AC79" i="1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24" i="11" l="1"/>
  <c r="F22" i="22"/>
  <c r="F116" i="22"/>
  <c r="X25" i="11"/>
  <c r="X20" i="11"/>
  <c r="AQ20" i="11" s="1"/>
  <c r="F103" i="22"/>
  <c r="X19" i="11"/>
  <c r="X18" i="11"/>
  <c r="W27" i="11"/>
  <c r="Q27" i="11"/>
  <c r="AD27" i="11"/>
  <c r="W14" i="11"/>
  <c r="Q14" i="11" s="1"/>
  <c r="AD14" i="11"/>
  <c r="F69" i="22"/>
  <c r="X16" i="11"/>
  <c r="AF75" i="57"/>
  <c r="X76" i="57"/>
  <c r="AB76" i="57" s="1"/>
  <c r="AG78" i="57"/>
  <c r="AA75" i="57"/>
  <c r="AQ77" i="57"/>
  <c r="M79" i="53"/>
  <c r="AC79" i="53" s="1"/>
  <c r="O79" i="53"/>
  <c r="AP63" i="69"/>
  <c r="N63" i="69"/>
  <c r="U63" i="69" s="1"/>
  <c r="R77" i="57"/>
  <c r="AD77" i="57"/>
  <c r="AJ77" i="57"/>
  <c r="Q77" i="57"/>
  <c r="T77" i="57" s="1"/>
  <c r="AC77" i="57"/>
  <c r="AE77" i="57"/>
  <c r="M78" i="57"/>
  <c r="AK78" i="57" s="1"/>
  <c r="P18" i="50"/>
  <c r="N79" i="53"/>
  <c r="T19" i="50"/>
  <c r="O19" i="50"/>
  <c r="AA77" i="53"/>
  <c r="AB77" i="53"/>
  <c r="AK15" i="50"/>
  <c r="AL15" i="50" s="1"/>
  <c r="AG15" i="50"/>
  <c r="AH15" i="50" s="1"/>
  <c r="AK14" i="50"/>
  <c r="AL14" i="50" s="1"/>
  <c r="AG14" i="50"/>
  <c r="AH14" i="50" s="1"/>
  <c r="AI14" i="50" s="1"/>
  <c r="C17" i="50"/>
  <c r="Z17" i="50"/>
  <c r="S18" i="50"/>
  <c r="AJ17" i="50"/>
  <c r="F52" i="22"/>
  <c r="F6" i="22"/>
  <c r="F42" i="22"/>
  <c r="AQ26" i="11"/>
  <c r="W17" i="50"/>
  <c r="X16" i="50"/>
  <c r="V17" i="50"/>
  <c r="AF62" i="69"/>
  <c r="Q62" i="69"/>
  <c r="O79" i="57"/>
  <c r="P79" i="57"/>
  <c r="AD16" i="50"/>
  <c r="AC60" i="69"/>
  <c r="AD60" i="69" s="1"/>
  <c r="F88" i="22"/>
  <c r="AB61" i="69"/>
  <c r="AG61" i="69"/>
  <c r="AO63" i="69"/>
  <c r="O64" i="69"/>
  <c r="AE78" i="53"/>
  <c r="AF77" i="53"/>
  <c r="AC142" i="11"/>
  <c r="AQ142" i="11" s="1"/>
  <c r="AC69" i="11"/>
  <c r="AC70" i="11"/>
  <c r="AQ70" i="11" s="1"/>
  <c r="AC75" i="11"/>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02" i="11"/>
  <c r="AQ85" i="11"/>
  <c r="AQ32" i="11"/>
  <c r="AQ112" i="11"/>
  <c r="AQ103" i="11"/>
  <c r="AQ39" i="11"/>
  <c r="I105" i="22"/>
  <c r="AQ80" i="11"/>
  <c r="AQ98" i="11"/>
  <c r="AQ88" i="11"/>
  <c r="AQ81" i="11"/>
  <c r="AQ136" i="11"/>
  <c r="AQ99" i="11"/>
  <c r="AQ35" i="11"/>
  <c r="AQ94" i="11"/>
  <c r="AQ113" i="11"/>
  <c r="AQ77" i="11"/>
  <c r="AQ45" i="11"/>
  <c r="AQ38" i="11"/>
  <c r="AQ63" i="11"/>
  <c r="AQ31" i="11"/>
  <c r="AQ30" i="11"/>
  <c r="AQ64" i="11"/>
  <c r="AQ90" i="11"/>
  <c r="I107" i="22"/>
  <c r="AQ141" i="11"/>
  <c r="AQ109" i="11"/>
  <c r="AQ73" i="11"/>
  <c r="AQ41" i="11"/>
  <c r="AQ108" i="11"/>
  <c r="AQ131" i="11"/>
  <c r="AQ123" i="11"/>
  <c r="AQ59" i="11"/>
  <c r="AQ27" i="11"/>
  <c r="AQ22" i="11"/>
  <c r="AQ52" i="11"/>
  <c r="AQ86" i="11"/>
  <c r="AQ34" i="11"/>
  <c r="AQ137" i="11"/>
  <c r="AQ105" i="11"/>
  <c r="AQ37" i="11"/>
  <c r="AQ92" i="11"/>
  <c r="AQ107" i="11"/>
  <c r="AQ144" i="11"/>
  <c r="AQ139" i="11"/>
  <c r="I118" i="22"/>
  <c r="I111" i="22"/>
  <c r="AQ121" i="11"/>
  <c r="AQ117" i="11"/>
  <c r="AQ119" i="11"/>
  <c r="AQ115" i="11"/>
  <c r="AQ126" i="11"/>
  <c r="AQ120" i="11"/>
  <c r="AQ122" i="11"/>
  <c r="AQ128" i="11"/>
  <c r="AQ124" i="11"/>
  <c r="AQ118" i="11"/>
  <c r="AQ69" i="11"/>
  <c r="AQ132" i="11"/>
  <c r="AQ129" i="11"/>
  <c r="AQ116" i="11"/>
  <c r="AQ125" i="11"/>
  <c r="AQ18" i="11"/>
  <c r="J106" i="22"/>
  <c r="AX63" i="22" s="1"/>
  <c r="AY62" i="69"/>
  <c r="L79" i="57"/>
  <c r="AG78" i="53"/>
  <c r="AH78" i="53"/>
  <c r="AT78" i="53"/>
  <c r="N79" i="57"/>
  <c r="AH62" i="69"/>
  <c r="AD78" i="53"/>
  <c r="H79" i="53"/>
  <c r="K79" i="53"/>
  <c r="AK78" i="52" a="1"/>
  <c r="AK78" i="52" s="1"/>
  <c r="B80" i="53" s="1"/>
  <c r="Q78" i="53"/>
  <c r="F79" i="53"/>
  <c r="E79" i="53"/>
  <c r="D79" i="53"/>
  <c r="G79" i="53"/>
  <c r="I79" i="53"/>
  <c r="C79" i="53"/>
  <c r="J79" i="53"/>
  <c r="P79" i="53"/>
  <c r="L79" i="53"/>
  <c r="F19" i="50"/>
  <c r="U19" i="50" s="1"/>
  <c r="M19" i="50"/>
  <c r="K19" i="50"/>
  <c r="A19" i="50"/>
  <c r="L19" i="50"/>
  <c r="H19" i="50"/>
  <c r="N19" i="50"/>
  <c r="I19" i="50"/>
  <c r="J19" i="50"/>
  <c r="G19" i="50"/>
  <c r="B19" i="50"/>
  <c r="R19" i="50" s="1"/>
  <c r="H79" i="57"/>
  <c r="D79" i="57"/>
  <c r="C79" i="57"/>
  <c r="K79" i="57"/>
  <c r="I79" i="57"/>
  <c r="G79" i="57"/>
  <c r="E79" i="57"/>
  <c r="F79" i="57"/>
  <c r="J79" i="57"/>
  <c r="AN78" i="55" a="1"/>
  <c r="AN78" i="55" s="1"/>
  <c r="B80" i="57" s="1"/>
  <c r="D63" i="69"/>
  <c r="E63" i="69" s="1"/>
  <c r="F63" i="69" s="1"/>
  <c r="G63" i="69" s="1"/>
  <c r="H63" i="69" s="1"/>
  <c r="I63" i="69" s="1"/>
  <c r="J63" i="69" s="1"/>
  <c r="K63" i="69" s="1"/>
  <c r="M63" i="69" s="1"/>
  <c r="AE62" i="69"/>
  <c r="R62" i="69"/>
  <c r="S62" i="69" s="1"/>
  <c r="C64" i="69"/>
  <c r="P64" i="69" s="1"/>
  <c r="AR64" i="67" a="1"/>
  <c r="AR64" i="67" s="1"/>
  <c r="B65" i="69"/>
  <c r="L65" i="69" s="1"/>
  <c r="I21" i="22"/>
  <c r="W11" i="11"/>
  <c r="Q11" i="11" s="1"/>
  <c r="I40" i="22"/>
  <c r="AP19" i="59" a="1"/>
  <c r="AP19" i="59" s="1"/>
  <c r="E20" i="50" s="1"/>
  <c r="I50" i="22"/>
  <c r="I24" i="22"/>
  <c r="I95" i="22"/>
  <c r="I73" i="22"/>
  <c r="AC15" i="11"/>
  <c r="Q15" i="11" s="1"/>
  <c r="X15" i="11" s="1"/>
  <c r="AC13" i="11"/>
  <c r="Q13" i="11" s="1"/>
  <c r="AC12" i="11"/>
  <c r="F12" i="22" l="1"/>
  <c r="X14" i="11"/>
  <c r="F84" i="22"/>
  <c r="X13" i="11"/>
  <c r="F31" i="22"/>
  <c r="I93" i="22"/>
  <c r="AD12" i="11"/>
  <c r="W12" i="11"/>
  <c r="I8" i="22" s="1"/>
  <c r="Y62" i="69"/>
  <c r="AB62" i="69" s="1"/>
  <c r="AC62" i="69" s="1"/>
  <c r="AD62" i="69" s="1"/>
  <c r="X77" i="57"/>
  <c r="AF77" i="57" s="1"/>
  <c r="AG79" i="57"/>
  <c r="I98" i="22"/>
  <c r="I117" i="22"/>
  <c r="K40" i="36"/>
  <c r="Z261" i="59" s="1"/>
  <c r="I64" i="22"/>
  <c r="AA76" i="57"/>
  <c r="AD78" i="57"/>
  <c r="M80" i="53"/>
  <c r="AC80" i="53" s="1"/>
  <c r="O80" i="53"/>
  <c r="AP64" i="69"/>
  <c r="N64" i="69"/>
  <c r="U64" i="69" s="1"/>
  <c r="AF76" i="57"/>
  <c r="R78" i="57"/>
  <c r="AE78" i="57"/>
  <c r="Q78" i="57"/>
  <c r="T78" i="57" s="1"/>
  <c r="AQ78" i="57"/>
  <c r="AJ78" i="57"/>
  <c r="AC78" i="57"/>
  <c r="M79" i="57"/>
  <c r="AK79" i="57" s="1"/>
  <c r="Q19" i="50"/>
  <c r="P19" i="50" s="1"/>
  <c r="Z18" i="50"/>
  <c r="N80" i="53"/>
  <c r="I41" i="22"/>
  <c r="O20" i="50"/>
  <c r="T20" i="50"/>
  <c r="AA78" i="53"/>
  <c r="AB78" i="53"/>
  <c r="AJ18" i="50"/>
  <c r="C18" i="50"/>
  <c r="S19" i="50"/>
  <c r="I113" i="22"/>
  <c r="I115" i="22"/>
  <c r="I54" i="22"/>
  <c r="I114" i="22"/>
  <c r="AM14" i="50"/>
  <c r="AQ25" i="11"/>
  <c r="AQ17" i="11"/>
  <c r="I94" i="22"/>
  <c r="F65" i="22"/>
  <c r="I30" i="22"/>
  <c r="I29" i="22"/>
  <c r="F45" i="22"/>
  <c r="I80" i="22"/>
  <c r="I44" i="22"/>
  <c r="W18" i="50"/>
  <c r="K48" i="36"/>
  <c r="I33" i="22"/>
  <c r="I55" i="22"/>
  <c r="I38" i="22"/>
  <c r="X17" i="50"/>
  <c r="AD17" i="50" s="1"/>
  <c r="V18" i="50"/>
  <c r="AF63" i="69"/>
  <c r="Q63" i="69"/>
  <c r="O80" i="57"/>
  <c r="P80" i="57"/>
  <c r="AI15" i="50"/>
  <c r="AM15" i="50"/>
  <c r="I56" i="22"/>
  <c r="AQ16" i="11"/>
  <c r="F68" i="22"/>
  <c r="AC61" i="69"/>
  <c r="AD61" i="69" s="1"/>
  <c r="O65" i="69"/>
  <c r="AO64" i="69"/>
  <c r="F11" i="22"/>
  <c r="AF78" i="53"/>
  <c r="AE79" i="53"/>
  <c r="I90" i="22"/>
  <c r="I109" i="22"/>
  <c r="I131" i="22"/>
  <c r="I75" i="22"/>
  <c r="R79" i="53"/>
  <c r="X79" i="53" s="1"/>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I96" i="22"/>
  <c r="K42" i="36"/>
  <c r="I101" i="22"/>
  <c r="I22" i="22"/>
  <c r="I112" i="22"/>
  <c r="AY63" i="69"/>
  <c r="L80" i="57"/>
  <c r="AG79" i="53"/>
  <c r="AH79" i="53"/>
  <c r="AT79" i="53"/>
  <c r="N80" i="57"/>
  <c r="P80" i="53"/>
  <c r="AH63" i="69"/>
  <c r="AD79" i="53"/>
  <c r="Q79" i="53"/>
  <c r="AK79" i="52" a="1"/>
  <c r="AK79" i="52" s="1"/>
  <c r="B81" i="53" s="1"/>
  <c r="K80" i="53"/>
  <c r="J80" i="53"/>
  <c r="F80" i="53"/>
  <c r="I80" i="53"/>
  <c r="H80" i="53"/>
  <c r="G80" i="53"/>
  <c r="D80" i="53"/>
  <c r="C80" i="53"/>
  <c r="L80" i="53"/>
  <c r="E80" i="53"/>
  <c r="I20" i="50"/>
  <c r="F20" i="50"/>
  <c r="U20" i="50" s="1"/>
  <c r="H20" i="50"/>
  <c r="M20" i="50"/>
  <c r="N20" i="50"/>
  <c r="G20" i="50"/>
  <c r="A20" i="50"/>
  <c r="J20" i="50"/>
  <c r="B20" i="50"/>
  <c r="R20" i="50" s="1"/>
  <c r="K20" i="50"/>
  <c r="L20" i="50"/>
  <c r="J108" i="22"/>
  <c r="AX64" i="22" s="1"/>
  <c r="J80" i="57"/>
  <c r="E80" i="57"/>
  <c r="C80" i="57"/>
  <c r="K80" i="57"/>
  <c r="I80" i="57"/>
  <c r="F80" i="57"/>
  <c r="H80" i="57"/>
  <c r="D80" i="57"/>
  <c r="G80" i="57"/>
  <c r="I88" i="22"/>
  <c r="AN79" i="55" a="1"/>
  <c r="AN79" i="55" s="1"/>
  <c r="B81" i="57" s="1"/>
  <c r="AR65" i="67" a="1"/>
  <c r="AR65" i="67" s="1"/>
  <c r="B66" i="69"/>
  <c r="L66" i="69" s="1"/>
  <c r="D64" i="69"/>
  <c r="E64" i="69" s="1"/>
  <c r="F64" i="69" s="1"/>
  <c r="G64" i="69" s="1"/>
  <c r="H64" i="69" s="1"/>
  <c r="I64" i="69" s="1"/>
  <c r="J64" i="69" s="1"/>
  <c r="K64" i="69" s="1"/>
  <c r="M64" i="69" s="1"/>
  <c r="AE63" i="69"/>
  <c r="R63" i="69"/>
  <c r="S63" i="69" s="1"/>
  <c r="Y63" i="69" s="1"/>
  <c r="C65" i="69"/>
  <c r="P65" i="69" s="1"/>
  <c r="I127" i="22"/>
  <c r="I32" i="22"/>
  <c r="I31" i="22"/>
  <c r="I25" i="22"/>
  <c r="I37" i="22"/>
  <c r="I12" i="22"/>
  <c r="I11" i="22"/>
  <c r="I9" i="22"/>
  <c r="I6" i="22"/>
  <c r="I89" i="22"/>
  <c r="I18" i="22"/>
  <c r="BG5" i="22" s="1"/>
  <c r="I34" i="22"/>
  <c r="I36" i="22"/>
  <c r="I97" i="22"/>
  <c r="I14" i="22"/>
  <c r="I85" i="22"/>
  <c r="I57" i="22"/>
  <c r="AP20" i="59" a="1"/>
  <c r="AP20" i="59" s="1"/>
  <c r="E21" i="50" s="1"/>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K46" i="36" l="1"/>
  <c r="Q12" i="11"/>
  <c r="X12" i="11" s="1"/>
  <c r="G259" i="46"/>
  <c r="W261" i="11"/>
  <c r="G259" i="71"/>
  <c r="H260" i="11"/>
  <c r="H261" i="59"/>
  <c r="H259" i="11"/>
  <c r="H259" i="59"/>
  <c r="W259" i="11"/>
  <c r="AG62" i="69"/>
  <c r="AG80" i="57"/>
  <c r="X78" i="57"/>
  <c r="AB78" i="57" s="1"/>
  <c r="T259" i="11"/>
  <c r="Z259" i="59"/>
  <c r="S259" i="11"/>
  <c r="W259" i="59"/>
  <c r="V259" i="59"/>
  <c r="AA77" i="57"/>
  <c r="M81" i="53"/>
  <c r="AC81" i="53" s="1"/>
  <c r="O81" i="53"/>
  <c r="AP65" i="69"/>
  <c r="N65" i="69"/>
  <c r="U65" i="69" s="1"/>
  <c r="AQ79" i="57"/>
  <c r="Q79" i="57"/>
  <c r="T79" i="57" s="1"/>
  <c r="AD79" i="57"/>
  <c r="AJ79" i="57"/>
  <c r="AB77" i="57"/>
  <c r="AE79" i="57"/>
  <c r="R79" i="57"/>
  <c r="AC79" i="57"/>
  <c r="M80" i="57"/>
  <c r="AK80" i="57" s="1"/>
  <c r="Q20" i="50"/>
  <c r="P20" i="50" s="1"/>
  <c r="Z19" i="50"/>
  <c r="I92" i="22"/>
  <c r="F100" i="22"/>
  <c r="F101" i="22"/>
  <c r="F99" i="22"/>
  <c r="F91" i="22"/>
  <c r="F97" i="22"/>
  <c r="AQ12" i="11"/>
  <c r="F93" i="22"/>
  <c r="I47" i="22"/>
  <c r="I48" i="22"/>
  <c r="I15" i="22"/>
  <c r="I134" i="22"/>
  <c r="F135" i="22"/>
  <c r="I76" i="22"/>
  <c r="K44" i="36"/>
  <c r="N81" i="53"/>
  <c r="O21" i="50"/>
  <c r="T21" i="50"/>
  <c r="AA79" i="53"/>
  <c r="AB79" i="53"/>
  <c r="AP14" i="50"/>
  <c r="AP15" i="50"/>
  <c r="AK17" i="50"/>
  <c r="AL17" i="50" s="1"/>
  <c r="AM17" i="50" s="1"/>
  <c r="AG17" i="50"/>
  <c r="AH17" i="50" s="1"/>
  <c r="AI17" i="50" s="1"/>
  <c r="AK16" i="50"/>
  <c r="AL16" i="50" s="1"/>
  <c r="AM16" i="50" s="1"/>
  <c r="AG16" i="50"/>
  <c r="AH16" i="50" s="1"/>
  <c r="AI16" i="50" s="1"/>
  <c r="AJ19" i="50"/>
  <c r="C19" i="50"/>
  <c r="S20" i="50"/>
  <c r="AQ14" i="11"/>
  <c r="F40" i="22"/>
  <c r="AQ19" i="11"/>
  <c r="I135" i="22"/>
  <c r="I43" i="22"/>
  <c r="F43" i="22"/>
  <c r="W19" i="50"/>
  <c r="X18" i="50"/>
  <c r="AD18" i="50" s="1"/>
  <c r="V19" i="50"/>
  <c r="AF64" i="69"/>
  <c r="Q64" i="69"/>
  <c r="O81" i="57"/>
  <c r="P81" i="57"/>
  <c r="I102" i="22"/>
  <c r="BG19" i="22" s="1"/>
  <c r="F87" i="22"/>
  <c r="AQ15" i="11"/>
  <c r="AB63" i="69"/>
  <c r="AG63" i="69"/>
  <c r="AO65" i="69"/>
  <c r="O66" i="69"/>
  <c r="I62" i="22"/>
  <c r="AE80" i="53"/>
  <c r="AF79" i="53"/>
  <c r="R80" i="53"/>
  <c r="X80" i="53" s="1"/>
  <c r="BG14" i="22"/>
  <c r="BG11" i="22"/>
  <c r="I86" i="22"/>
  <c r="J112" i="22"/>
  <c r="AX101" i="22" s="1"/>
  <c r="AY64" i="69"/>
  <c r="L81" i="57"/>
  <c r="AG80" i="53"/>
  <c r="AH80" i="53"/>
  <c r="AT80" i="53"/>
  <c r="N81" i="57"/>
  <c r="AH64" i="69"/>
  <c r="Q80" i="53"/>
  <c r="AD80" i="53"/>
  <c r="AK80" i="52" a="1"/>
  <c r="AK80" i="52" s="1"/>
  <c r="B82" i="53" s="1"/>
  <c r="F81" i="53"/>
  <c r="H81" i="53"/>
  <c r="I81" i="53"/>
  <c r="P81" i="53"/>
  <c r="K81" i="53"/>
  <c r="E81" i="53"/>
  <c r="J81" i="53"/>
  <c r="L81" i="53"/>
  <c r="G81" i="53"/>
  <c r="D81" i="53"/>
  <c r="C81" i="53"/>
  <c r="F21" i="50"/>
  <c r="U21" i="50" s="1"/>
  <c r="K21" i="50"/>
  <c r="A21" i="50"/>
  <c r="H21" i="50"/>
  <c r="B21" i="50"/>
  <c r="R21" i="50" s="1"/>
  <c r="L21" i="50"/>
  <c r="I21" i="50"/>
  <c r="M21" i="50"/>
  <c r="G21" i="50"/>
  <c r="J21" i="50"/>
  <c r="N21" i="50"/>
  <c r="K81" i="57"/>
  <c r="G81" i="57"/>
  <c r="E81" i="57"/>
  <c r="D81" i="57"/>
  <c r="C81" i="57"/>
  <c r="I81" i="57"/>
  <c r="H81" i="57"/>
  <c r="F81" i="57"/>
  <c r="J81" i="57"/>
  <c r="I133" i="22"/>
  <c r="I116" i="22"/>
  <c r="AN80" i="55" a="1"/>
  <c r="AN80" i="55" s="1"/>
  <c r="B82" i="57" s="1"/>
  <c r="D65" i="69"/>
  <c r="E65" i="69" s="1"/>
  <c r="F65" i="69" s="1"/>
  <c r="G65" i="69" s="1"/>
  <c r="H65" i="69" s="1"/>
  <c r="I65" i="69" s="1"/>
  <c r="J65" i="69" s="1"/>
  <c r="K65" i="69" s="1"/>
  <c r="M65" i="69" s="1"/>
  <c r="R64" i="69"/>
  <c r="S64" i="69" s="1"/>
  <c r="Y64" i="69" s="1"/>
  <c r="AE64" i="69"/>
  <c r="C66" i="69"/>
  <c r="P66" i="69" s="1"/>
  <c r="AR66" i="67" a="1"/>
  <c r="AR66" i="67" s="1"/>
  <c r="B67" i="69"/>
  <c r="L67" i="69" s="1"/>
  <c r="I70" i="22"/>
  <c r="I17" i="22"/>
  <c r="I100" i="22"/>
  <c r="I52" i="22"/>
  <c r="I87" i="22"/>
  <c r="I53" i="22"/>
  <c r="I51" i="22"/>
  <c r="J40" i="22"/>
  <c r="AX9" i="22" s="1"/>
  <c r="I16" i="22"/>
  <c r="I20" i="22"/>
  <c r="J89" i="22"/>
  <c r="AX18" i="22" s="1"/>
  <c r="AP21" i="59" a="1"/>
  <c r="AP21" i="59" s="1"/>
  <c r="E22" i="50" s="1"/>
  <c r="AL11" i="11" a="1"/>
  <c r="AL11" i="11" s="1"/>
  <c r="E12" i="32" s="1"/>
  <c r="K6" i="46" l="1"/>
  <c r="L6" i="71"/>
  <c r="X79" i="57"/>
  <c r="AB79" i="57" s="1"/>
  <c r="AG81" i="57"/>
  <c r="AF78" i="57"/>
  <c r="M82" i="53"/>
  <c r="AC82" i="53" s="1"/>
  <c r="O82" i="53"/>
  <c r="AP66" i="69"/>
  <c r="N66" i="69"/>
  <c r="U66" i="69" s="1"/>
  <c r="AA78" i="57"/>
  <c r="AD80" i="57"/>
  <c r="AQ80" i="57"/>
  <c r="AE80" i="57"/>
  <c r="AJ80" i="57"/>
  <c r="R80" i="57"/>
  <c r="Q80" i="57"/>
  <c r="T80" i="57" s="1"/>
  <c r="AC80" i="57"/>
  <c r="M81" i="57"/>
  <c r="AK81" i="57" s="1"/>
  <c r="Q21" i="50"/>
  <c r="P21" i="50" s="1"/>
  <c r="N82" i="53"/>
  <c r="T22" i="50"/>
  <c r="O22" i="50"/>
  <c r="AP17" i="50"/>
  <c r="AA80" i="53"/>
  <c r="AB80" i="53"/>
  <c r="AP16" i="50"/>
  <c r="AK18" i="50"/>
  <c r="AL18" i="50" s="1"/>
  <c r="AG18" i="50"/>
  <c r="AH18" i="50" s="1"/>
  <c r="C20" i="50"/>
  <c r="Z20" i="50"/>
  <c r="AJ20" i="50"/>
  <c r="S21" i="50"/>
  <c r="Z21" i="50" s="1"/>
  <c r="AQ13" i="11"/>
  <c r="W20" i="50"/>
  <c r="X19" i="50"/>
  <c r="AD19" i="50" s="1"/>
  <c r="V20" i="50"/>
  <c r="AF65" i="69"/>
  <c r="Q65" i="69"/>
  <c r="O82" i="57"/>
  <c r="P82" i="57"/>
  <c r="AC63" i="69"/>
  <c r="AD63" i="69" s="1"/>
  <c r="AB64" i="69"/>
  <c r="AG64" i="69"/>
  <c r="O67" i="69"/>
  <c r="AO66" i="69"/>
  <c r="AE81" i="53"/>
  <c r="AF80" i="53"/>
  <c r="R81" i="53"/>
  <c r="X81" i="53" s="1"/>
  <c r="BG18" i="22"/>
  <c r="BG10" i="22"/>
  <c r="BG17" i="22"/>
  <c r="AY65" i="69"/>
  <c r="L82" i="57"/>
  <c r="AG81" i="53"/>
  <c r="AH81" i="53"/>
  <c r="AT81" i="53"/>
  <c r="N82" i="57"/>
  <c r="H82" i="53"/>
  <c r="AH65" i="69"/>
  <c r="AD81" i="53"/>
  <c r="Q81" i="53"/>
  <c r="AK81" i="52" a="1"/>
  <c r="AK81" i="52" s="1"/>
  <c r="B83" i="53" s="1"/>
  <c r="K82" i="53"/>
  <c r="I82" i="53"/>
  <c r="P82" i="53"/>
  <c r="D82" i="53"/>
  <c r="F82" i="53"/>
  <c r="L82" i="53"/>
  <c r="G82" i="53"/>
  <c r="J82" i="53"/>
  <c r="C82" i="53"/>
  <c r="E82" i="53"/>
  <c r="I22" i="50"/>
  <c r="B22" i="50"/>
  <c r="R22" i="50" s="1"/>
  <c r="H22" i="50"/>
  <c r="G22" i="50"/>
  <c r="A22" i="50"/>
  <c r="M22" i="50"/>
  <c r="N22" i="50"/>
  <c r="K22" i="50"/>
  <c r="L22" i="50"/>
  <c r="F22" i="50"/>
  <c r="U22" i="50" s="1"/>
  <c r="J22" i="50"/>
  <c r="J82" i="57"/>
  <c r="G82" i="57"/>
  <c r="E82" i="57"/>
  <c r="H82" i="57"/>
  <c r="D82" i="57"/>
  <c r="K82" i="57"/>
  <c r="F82" i="57"/>
  <c r="I82" i="57"/>
  <c r="C82" i="57"/>
  <c r="AN81" i="55" a="1"/>
  <c r="AN81" i="55" s="1"/>
  <c r="B83" i="57" s="1"/>
  <c r="AR67" i="67" a="1"/>
  <c r="AR67" i="67" s="1"/>
  <c r="B68" i="69"/>
  <c r="L68" i="69" s="1"/>
  <c r="C67" i="69"/>
  <c r="P67" i="69" s="1"/>
  <c r="AE65" i="69"/>
  <c r="R65" i="69"/>
  <c r="S65" i="69" s="1"/>
  <c r="Y65" i="69" s="1"/>
  <c r="D66" i="69"/>
  <c r="E66" i="69" s="1"/>
  <c r="F66" i="69" s="1"/>
  <c r="G66" i="69" s="1"/>
  <c r="H66" i="69" s="1"/>
  <c r="I66" i="69" s="1"/>
  <c r="J66" i="69" s="1"/>
  <c r="K66" i="69" s="1"/>
  <c r="M66" i="69" s="1"/>
  <c r="AP22" i="59" a="1"/>
  <c r="AP22" i="59" s="1"/>
  <c r="E23" i="50" s="1"/>
  <c r="AL12" i="11" a="1"/>
  <c r="AL12" i="11" s="1"/>
  <c r="E13" i="32" s="1"/>
  <c r="AB65" i="69" l="1"/>
  <c r="AC65" i="69" s="1"/>
  <c r="AD65" i="69" s="1"/>
  <c r="X80" i="57"/>
  <c r="AB80" i="57" s="1"/>
  <c r="AG82" i="57"/>
  <c r="AJ81" i="57"/>
  <c r="AF79" i="57"/>
  <c r="AA79" i="57"/>
  <c r="M83" i="53"/>
  <c r="AC83" i="53" s="1"/>
  <c r="O83" i="53"/>
  <c r="AP67" i="69"/>
  <c r="N67" i="69"/>
  <c r="U67" i="69" s="1"/>
  <c r="AD81" i="57"/>
  <c r="Q81" i="57"/>
  <c r="T81" i="57" s="1"/>
  <c r="AC81" i="57"/>
  <c r="AQ81" i="57"/>
  <c r="R81" i="57"/>
  <c r="AE81" i="57"/>
  <c r="M82" i="57"/>
  <c r="AK82" i="57" s="1"/>
  <c r="Q22" i="50"/>
  <c r="P22" i="50" s="1"/>
  <c r="N83" i="53"/>
  <c r="T23" i="50"/>
  <c r="O23" i="50"/>
  <c r="AA81" i="53"/>
  <c r="AB81" i="53"/>
  <c r="AK19" i="50"/>
  <c r="AL19" i="50" s="1"/>
  <c r="AM19" i="50" s="1"/>
  <c r="AG19" i="50"/>
  <c r="AH19" i="50" s="1"/>
  <c r="AI19" i="50" s="1"/>
  <c r="AJ21" i="50"/>
  <c r="C21" i="50"/>
  <c r="S22" i="50"/>
  <c r="Z22" i="50" s="1"/>
  <c r="W21" i="50"/>
  <c r="X20" i="50"/>
  <c r="AD20" i="50" s="1"/>
  <c r="V21" i="50"/>
  <c r="AF66" i="69"/>
  <c r="Q66" i="69"/>
  <c r="O83" i="57"/>
  <c r="P83" i="57"/>
  <c r="AI18" i="50"/>
  <c r="AM18" i="50"/>
  <c r="AC64" i="69"/>
  <c r="AD64" i="69" s="1"/>
  <c r="AG65" i="69"/>
  <c r="O68" i="69"/>
  <c r="AO67" i="69"/>
  <c r="AE82" i="53"/>
  <c r="AF81" i="53"/>
  <c r="R82" i="53"/>
  <c r="X82" i="53" s="1"/>
  <c r="AY66" i="69"/>
  <c r="L83" i="57"/>
  <c r="AH82" i="53"/>
  <c r="AT82" i="53"/>
  <c r="AG82" i="53"/>
  <c r="N83" i="57"/>
  <c r="E83" i="53"/>
  <c r="AH66" i="69"/>
  <c r="AD82" i="53"/>
  <c r="Q82" i="53"/>
  <c r="F83" i="53"/>
  <c r="K83" i="53"/>
  <c r="P83" i="53"/>
  <c r="G83" i="53"/>
  <c r="D83" i="53"/>
  <c r="H83" i="53"/>
  <c r="L83" i="53"/>
  <c r="AK82" i="52" a="1"/>
  <c r="AK82" i="52" s="1"/>
  <c r="B84" i="53" s="1"/>
  <c r="J83" i="53"/>
  <c r="I83" i="53"/>
  <c r="C83" i="53"/>
  <c r="B23" i="50"/>
  <c r="R23" i="50" s="1"/>
  <c r="N23" i="50"/>
  <c r="M23" i="50"/>
  <c r="A23" i="50"/>
  <c r="L23" i="50"/>
  <c r="G23" i="50"/>
  <c r="K23" i="50"/>
  <c r="J23" i="50"/>
  <c r="I23" i="50"/>
  <c r="F23" i="50"/>
  <c r="U23" i="50" s="1"/>
  <c r="H23" i="50"/>
  <c r="H83" i="57"/>
  <c r="D83" i="57"/>
  <c r="C83" i="57"/>
  <c r="K83" i="57"/>
  <c r="I83" i="57"/>
  <c r="G83" i="57"/>
  <c r="E83" i="57"/>
  <c r="F83" i="57"/>
  <c r="J83" i="57"/>
  <c r="AN82" i="55" a="1"/>
  <c r="AN82" i="55" s="1"/>
  <c r="B84" i="57" s="1"/>
  <c r="D67" i="69"/>
  <c r="E67" i="69" s="1"/>
  <c r="F67" i="69" s="1"/>
  <c r="G67" i="69" s="1"/>
  <c r="H67" i="69" s="1"/>
  <c r="I67" i="69" s="1"/>
  <c r="J67" i="69" s="1"/>
  <c r="K67" i="69" s="1"/>
  <c r="M67" i="69" s="1"/>
  <c r="R66" i="69"/>
  <c r="S66" i="69" s="1"/>
  <c r="Y66" i="69" s="1"/>
  <c r="AE66" i="69"/>
  <c r="C68" i="69"/>
  <c r="P68" i="69" s="1"/>
  <c r="AR68" i="67" a="1"/>
  <c r="AR68" i="67" s="1"/>
  <c r="B69" i="69"/>
  <c r="L69" i="69" s="1"/>
  <c r="AP23" i="59" a="1"/>
  <c r="AP23" i="59" s="1"/>
  <c r="E24" i="50" s="1"/>
  <c r="AL13" i="11" a="1"/>
  <c r="AL13" i="11" s="1"/>
  <c r="E14" i="32" s="1"/>
  <c r="X81" i="57" l="1"/>
  <c r="AB81" i="57" s="1"/>
  <c r="AB66" i="69"/>
  <c r="AC66" i="69" s="1"/>
  <c r="AD66" i="69" s="1"/>
  <c r="AG83" i="57"/>
  <c r="M84" i="53"/>
  <c r="AC84" i="53" s="1"/>
  <c r="O84" i="53"/>
  <c r="AP68" i="69"/>
  <c r="N68" i="69"/>
  <c r="U68" i="69" s="1"/>
  <c r="AA80" i="57"/>
  <c r="AF80" i="57"/>
  <c r="Q82" i="57"/>
  <c r="T82" i="57" s="1"/>
  <c r="AE82" i="57"/>
  <c r="AQ82" i="57"/>
  <c r="AC82" i="57"/>
  <c r="AD82" i="57"/>
  <c r="AJ82" i="57"/>
  <c r="R82" i="57"/>
  <c r="M83" i="57"/>
  <c r="AK83" i="57" s="1"/>
  <c r="Q23" i="50"/>
  <c r="P23" i="50" s="1"/>
  <c r="N84" i="53"/>
  <c r="T14" i="32"/>
  <c r="O14" i="32"/>
  <c r="O24" i="50"/>
  <c r="T24" i="50"/>
  <c r="AA82" i="53"/>
  <c r="AB82" i="53"/>
  <c r="AP19" i="50"/>
  <c r="AP18" i="50"/>
  <c r="AK20" i="50"/>
  <c r="AL20" i="50" s="1"/>
  <c r="AM20" i="50" s="1"/>
  <c r="AG20" i="50"/>
  <c r="AH20" i="50" s="1"/>
  <c r="AI20" i="50" s="1"/>
  <c r="AJ22" i="50"/>
  <c r="C22" i="50"/>
  <c r="S23" i="50"/>
  <c r="Z23" i="50" s="1"/>
  <c r="W22" i="50"/>
  <c r="X21" i="50"/>
  <c r="V22" i="50"/>
  <c r="AF67" i="69"/>
  <c r="Q67" i="69"/>
  <c r="O84" i="57"/>
  <c r="P84" i="57"/>
  <c r="AD21" i="50"/>
  <c r="AO68" i="69"/>
  <c r="O69" i="69"/>
  <c r="AG66" i="69"/>
  <c r="AF82" i="53"/>
  <c r="AE83" i="53"/>
  <c r="R83" i="53"/>
  <c r="X83" i="53" s="1"/>
  <c r="AY67" i="69"/>
  <c r="L84" i="57"/>
  <c r="AG83" i="53"/>
  <c r="AH83" i="53"/>
  <c r="AT83" i="53"/>
  <c r="N84" i="57"/>
  <c r="D84" i="53"/>
  <c r="AH67" i="69"/>
  <c r="AD83" i="53"/>
  <c r="Q83" i="53"/>
  <c r="G84" i="53"/>
  <c r="P84" i="53"/>
  <c r="H84" i="53"/>
  <c r="F84" i="53"/>
  <c r="AK83" i="52" a="1"/>
  <c r="AK83" i="52" s="1"/>
  <c r="B85" i="53" s="1"/>
  <c r="K84" i="53"/>
  <c r="E84" i="53"/>
  <c r="L84" i="53"/>
  <c r="C84" i="53"/>
  <c r="J84" i="53"/>
  <c r="I84" i="53"/>
  <c r="F24" i="50"/>
  <c r="U24" i="50" s="1"/>
  <c r="J24" i="50"/>
  <c r="I24" i="50"/>
  <c r="M24" i="50"/>
  <c r="L24" i="50"/>
  <c r="B24" i="50"/>
  <c r="R24" i="50" s="1"/>
  <c r="K24" i="50"/>
  <c r="A24" i="50"/>
  <c r="G24" i="50"/>
  <c r="N24" i="50"/>
  <c r="H24" i="50"/>
  <c r="F84" i="57"/>
  <c r="C84" i="57"/>
  <c r="K84" i="57"/>
  <c r="I84" i="57"/>
  <c r="H84" i="57"/>
  <c r="D84" i="57"/>
  <c r="G84" i="57"/>
  <c r="E84" i="57"/>
  <c r="J84" i="57"/>
  <c r="AN83" i="55" a="1"/>
  <c r="AN83" i="55" s="1"/>
  <c r="B85" i="57" s="1"/>
  <c r="AR69" i="67" a="1"/>
  <c r="AR69" i="67" s="1"/>
  <c r="B70" i="69"/>
  <c r="L70" i="69" s="1"/>
  <c r="AE67" i="69"/>
  <c r="R67" i="69"/>
  <c r="S67" i="69" s="1"/>
  <c r="Y67" i="69" s="1"/>
  <c r="C69" i="69"/>
  <c r="P69" i="69" s="1"/>
  <c r="D68" i="69"/>
  <c r="E68" i="69" s="1"/>
  <c r="F68" i="69" s="1"/>
  <c r="G68" i="69" s="1"/>
  <c r="H68" i="69" s="1"/>
  <c r="I68" i="69" s="1"/>
  <c r="J68" i="69" s="1"/>
  <c r="K68" i="69" s="1"/>
  <c r="M68" i="69" s="1"/>
  <c r="AP24" i="59" a="1"/>
  <c r="AP24" i="59" s="1"/>
  <c r="E25" i="50" s="1"/>
  <c r="AL14" i="11" a="1"/>
  <c r="AL14" i="11" s="1"/>
  <c r="E15" i="32" s="1"/>
  <c r="AG84" i="57" l="1"/>
  <c r="X82" i="57"/>
  <c r="AF82" i="57" s="1"/>
  <c r="AA81" i="57"/>
  <c r="M85" i="53"/>
  <c r="AC85" i="53" s="1"/>
  <c r="O85" i="53"/>
  <c r="AP69" i="69"/>
  <c r="N69" i="69"/>
  <c r="U69" i="69" s="1"/>
  <c r="AF81" i="57"/>
  <c r="AQ83" i="57"/>
  <c r="AC83" i="57"/>
  <c r="Q83" i="57"/>
  <c r="T83" i="57" s="1"/>
  <c r="AE83" i="57"/>
  <c r="AD83" i="57"/>
  <c r="AJ83" i="57"/>
  <c r="R83" i="57"/>
  <c r="M84" i="57"/>
  <c r="AK84" i="57" s="1"/>
  <c r="Q24" i="50"/>
  <c r="P24" i="50" s="1"/>
  <c r="N85" i="53"/>
  <c r="T15" i="32"/>
  <c r="O15" i="32"/>
  <c r="O25" i="50"/>
  <c r="T25" i="50"/>
  <c r="AA83" i="53"/>
  <c r="AB83" i="53"/>
  <c r="AP20" i="50"/>
  <c r="AJ23" i="50"/>
  <c r="C23" i="50"/>
  <c r="S24" i="50"/>
  <c r="Z24" i="50" s="1"/>
  <c r="W23" i="50"/>
  <c r="X22" i="50"/>
  <c r="V23" i="50"/>
  <c r="AF68" i="69"/>
  <c r="Q68" i="69"/>
  <c r="O85" i="57"/>
  <c r="P85" i="57"/>
  <c r="AD22" i="50"/>
  <c r="AB67" i="69"/>
  <c r="AG67" i="69"/>
  <c r="O70" i="69"/>
  <c r="AO69" i="69"/>
  <c r="AF83" i="53"/>
  <c r="AE84" i="53"/>
  <c r="R84" i="53"/>
  <c r="X84" i="53" s="1"/>
  <c r="AY68" i="69"/>
  <c r="L85" i="57"/>
  <c r="AG84" i="53"/>
  <c r="AH84" i="53"/>
  <c r="AT84" i="53"/>
  <c r="N85" i="57"/>
  <c r="J85" i="53"/>
  <c r="AH68" i="69"/>
  <c r="AD84" i="53"/>
  <c r="Q84" i="53"/>
  <c r="E85" i="53"/>
  <c r="D85" i="53"/>
  <c r="P85" i="53"/>
  <c r="C85" i="53"/>
  <c r="AK84" i="52" a="1"/>
  <c r="AK84" i="52" s="1"/>
  <c r="B86" i="53" s="1"/>
  <c r="G85" i="53"/>
  <c r="H85" i="53"/>
  <c r="F85" i="53"/>
  <c r="L85" i="53"/>
  <c r="K85" i="53"/>
  <c r="I85" i="53"/>
  <c r="M25" i="50"/>
  <c r="J25" i="50"/>
  <c r="G25" i="50"/>
  <c r="L25" i="50"/>
  <c r="H25" i="50"/>
  <c r="I25" i="50"/>
  <c r="K25" i="50"/>
  <c r="B25" i="50"/>
  <c r="R25" i="50" s="1"/>
  <c r="F25" i="50"/>
  <c r="U25" i="50" s="1"/>
  <c r="A25" i="50"/>
  <c r="N25" i="50"/>
  <c r="C85" i="57"/>
  <c r="I85" i="57"/>
  <c r="H85" i="57"/>
  <c r="G85" i="57"/>
  <c r="E85" i="57"/>
  <c r="D85" i="57"/>
  <c r="K85" i="57"/>
  <c r="F85" i="57"/>
  <c r="J85" i="57"/>
  <c r="AN84" i="55" a="1"/>
  <c r="AN84" i="55" s="1"/>
  <c r="B86" i="57" s="1"/>
  <c r="D69" i="69"/>
  <c r="E69" i="69" s="1"/>
  <c r="F69" i="69" s="1"/>
  <c r="G69" i="69" s="1"/>
  <c r="H69" i="69" s="1"/>
  <c r="I69" i="69" s="1"/>
  <c r="J69" i="69" s="1"/>
  <c r="K69" i="69" s="1"/>
  <c r="M69" i="69" s="1"/>
  <c r="AE68" i="69"/>
  <c r="R68" i="69"/>
  <c r="S68" i="69" s="1"/>
  <c r="C70" i="69"/>
  <c r="P70" i="69" s="1"/>
  <c r="AR70" i="67" a="1"/>
  <c r="AR70" i="67" s="1"/>
  <c r="B71" i="69"/>
  <c r="L71" i="69" s="1"/>
  <c r="AP25" i="59" a="1"/>
  <c r="AP25" i="59" s="1"/>
  <c r="E26" i="50" s="1"/>
  <c r="AL15" i="11" a="1"/>
  <c r="AL15" i="11" s="1"/>
  <c r="E16" i="32" s="1"/>
  <c r="Y68" i="69" l="1"/>
  <c r="AG68" i="69" s="1"/>
  <c r="X83" i="57"/>
  <c r="AB83" i="57" s="1"/>
  <c r="AG85" i="57"/>
  <c r="M86" i="53"/>
  <c r="AC86" i="53" s="1"/>
  <c r="O86" i="53"/>
  <c r="AP70" i="69"/>
  <c r="N70" i="69"/>
  <c r="U70" i="69" s="1"/>
  <c r="AB82" i="57"/>
  <c r="AA82" i="57"/>
  <c r="Q84" i="57"/>
  <c r="T84" i="57" s="1"/>
  <c r="AC84" i="57"/>
  <c r="AQ84" i="57"/>
  <c r="AD84" i="57"/>
  <c r="AJ84" i="57"/>
  <c r="R84" i="57"/>
  <c r="AE84" i="57"/>
  <c r="M85" i="57"/>
  <c r="AK85" i="57" s="1"/>
  <c r="Q25" i="50"/>
  <c r="P25" i="50" s="1"/>
  <c r="N86" i="53"/>
  <c r="O16" i="32"/>
  <c r="T16" i="32"/>
  <c r="T26" i="50"/>
  <c r="O26" i="50"/>
  <c r="AA84" i="53"/>
  <c r="AB84" i="53"/>
  <c r="AK21" i="50"/>
  <c r="AL21" i="50" s="1"/>
  <c r="AM21" i="50" s="1"/>
  <c r="AG21" i="50"/>
  <c r="AH21" i="50" s="1"/>
  <c r="AI21" i="50" s="1"/>
  <c r="AJ24" i="50"/>
  <c r="C24" i="50"/>
  <c r="S25" i="50"/>
  <c r="Z25" i="50" s="1"/>
  <c r="W24" i="50"/>
  <c r="X23" i="50"/>
  <c r="V24" i="50"/>
  <c r="AF69" i="69"/>
  <c r="Q69" i="69"/>
  <c r="O86" i="57"/>
  <c r="P86" i="57"/>
  <c r="AD23" i="50"/>
  <c r="AC67" i="69"/>
  <c r="AD67" i="69" s="1"/>
  <c r="O71" i="69"/>
  <c r="AO70" i="69"/>
  <c r="AE85" i="53"/>
  <c r="AF84" i="53"/>
  <c r="R85" i="53"/>
  <c r="X85" i="53" s="1"/>
  <c r="AY69" i="69"/>
  <c r="L86" i="57"/>
  <c r="AH85" i="53"/>
  <c r="AT85" i="53"/>
  <c r="AG85" i="53"/>
  <c r="N86" i="57"/>
  <c r="AH69" i="69"/>
  <c r="AD85" i="53"/>
  <c r="Q85" i="53"/>
  <c r="C86" i="53"/>
  <c r="H86" i="53"/>
  <c r="AK85" i="52" a="1"/>
  <c r="AK85" i="52" s="1"/>
  <c r="B87" i="53" s="1"/>
  <c r="J86" i="53"/>
  <c r="E86" i="53"/>
  <c r="I86" i="53"/>
  <c r="F86" i="53"/>
  <c r="L86" i="53"/>
  <c r="P86" i="53"/>
  <c r="K86" i="53"/>
  <c r="D86" i="53"/>
  <c r="G86" i="53"/>
  <c r="A26" i="50"/>
  <c r="H26" i="50"/>
  <c r="J26" i="50"/>
  <c r="M26" i="50"/>
  <c r="G26" i="50"/>
  <c r="K26" i="50"/>
  <c r="N26" i="50"/>
  <c r="F26" i="50"/>
  <c r="U26" i="50" s="1"/>
  <c r="L26" i="50"/>
  <c r="B26" i="50"/>
  <c r="R26" i="50" s="1"/>
  <c r="I26" i="50"/>
  <c r="J86" i="57"/>
  <c r="G86" i="57"/>
  <c r="E86" i="57"/>
  <c r="H86" i="57"/>
  <c r="D86" i="57"/>
  <c r="I86" i="57"/>
  <c r="C86" i="57"/>
  <c r="K86" i="57"/>
  <c r="F86" i="57"/>
  <c r="AN85" i="55" a="1"/>
  <c r="AN85" i="55" s="1"/>
  <c r="B87" i="57" s="1"/>
  <c r="AR71" i="67" a="1"/>
  <c r="AR71" i="67" s="1"/>
  <c r="B72" i="69"/>
  <c r="L72" i="69" s="1"/>
  <c r="C71" i="69"/>
  <c r="P71" i="69" s="1"/>
  <c r="D70" i="69"/>
  <c r="E70" i="69" s="1"/>
  <c r="F70" i="69" s="1"/>
  <c r="G70" i="69" s="1"/>
  <c r="H70" i="69" s="1"/>
  <c r="I70" i="69" s="1"/>
  <c r="J70" i="69" s="1"/>
  <c r="K70" i="69" s="1"/>
  <c r="M70" i="69" s="1"/>
  <c r="AE69" i="69"/>
  <c r="R69" i="69"/>
  <c r="S69" i="69" s="1"/>
  <c r="Y69" i="69" s="1"/>
  <c r="AP26" i="59" a="1"/>
  <c r="AP26" i="59" s="1"/>
  <c r="E27" i="50" s="1"/>
  <c r="AL16" i="11" a="1"/>
  <c r="AL16" i="11" s="1"/>
  <c r="E17" i="32" s="1"/>
  <c r="AB68" i="69" l="1"/>
  <c r="AC68" i="69" s="1"/>
  <c r="AD68" i="69" s="1"/>
  <c r="X84" i="57"/>
  <c r="AB84" i="57" s="1"/>
  <c r="AG86" i="57"/>
  <c r="M87" i="53"/>
  <c r="AC87" i="53" s="1"/>
  <c r="O87" i="53"/>
  <c r="AP71" i="69"/>
  <c r="N71" i="69"/>
  <c r="U71" i="69" s="1"/>
  <c r="AQ85" i="57"/>
  <c r="AF83" i="57"/>
  <c r="AA83" i="57"/>
  <c r="AJ85" i="57"/>
  <c r="R85" i="57"/>
  <c r="AD85" i="57"/>
  <c r="AC85" i="57"/>
  <c r="Q85" i="57"/>
  <c r="T85" i="57" s="1"/>
  <c r="AE85" i="57"/>
  <c r="M86" i="57"/>
  <c r="AK86" i="57" s="1"/>
  <c r="Q26" i="50"/>
  <c r="P26" i="50" s="1"/>
  <c r="N87" i="53"/>
  <c r="I17" i="32"/>
  <c r="O17" i="32"/>
  <c r="T17" i="32"/>
  <c r="T27" i="50"/>
  <c r="O27" i="50"/>
  <c r="AA85" i="53"/>
  <c r="AB85" i="53"/>
  <c r="AP21" i="50"/>
  <c r="AK22" i="50"/>
  <c r="AL22" i="50" s="1"/>
  <c r="AG22" i="50"/>
  <c r="AH22" i="50" s="1"/>
  <c r="AI22" i="50" s="1"/>
  <c r="AJ25" i="50"/>
  <c r="C25" i="50"/>
  <c r="S26" i="50"/>
  <c r="Z26" i="50" s="1"/>
  <c r="W25" i="50"/>
  <c r="X24" i="50"/>
  <c r="AD24" i="50" s="1"/>
  <c r="V25" i="50"/>
  <c r="AF70" i="69"/>
  <c r="Q70" i="69"/>
  <c r="O87" i="57"/>
  <c r="P87" i="57"/>
  <c r="AM22" i="50"/>
  <c r="AB69" i="69"/>
  <c r="AG69" i="69"/>
  <c r="AO71" i="69"/>
  <c r="O72" i="69"/>
  <c r="AE86" i="53"/>
  <c r="AF85" i="53"/>
  <c r="R86" i="53"/>
  <c r="X86" i="53" s="1"/>
  <c r="AY70" i="69"/>
  <c r="L87" i="57"/>
  <c r="AH86" i="53"/>
  <c r="AT86" i="53"/>
  <c r="AG86" i="53"/>
  <c r="N87" i="57"/>
  <c r="J87" i="53"/>
  <c r="AH70" i="69"/>
  <c r="AD86" i="53"/>
  <c r="Q86" i="53"/>
  <c r="C87" i="53"/>
  <c r="D87" i="53"/>
  <c r="AK86" i="52" a="1"/>
  <c r="AK86" i="52" s="1"/>
  <c r="B88" i="53" s="1"/>
  <c r="L87" i="53"/>
  <c r="I87" i="53"/>
  <c r="G87" i="53"/>
  <c r="P87" i="53"/>
  <c r="K87" i="53"/>
  <c r="E87" i="53"/>
  <c r="H87" i="53"/>
  <c r="F87" i="53"/>
  <c r="F27" i="50"/>
  <c r="U27" i="50" s="1"/>
  <c r="A27" i="50"/>
  <c r="K27" i="50"/>
  <c r="M27" i="50"/>
  <c r="L27" i="50"/>
  <c r="B27" i="50"/>
  <c r="R27" i="50" s="1"/>
  <c r="I27" i="50"/>
  <c r="H27" i="50"/>
  <c r="J27" i="50"/>
  <c r="G27" i="50"/>
  <c r="N27" i="50"/>
  <c r="D87" i="57"/>
  <c r="C87" i="57"/>
  <c r="K87" i="57"/>
  <c r="I87" i="57"/>
  <c r="H87" i="57"/>
  <c r="G87" i="57"/>
  <c r="E87" i="57"/>
  <c r="F87" i="57"/>
  <c r="J87" i="57"/>
  <c r="AN86" i="55" a="1"/>
  <c r="AN86" i="55" s="1"/>
  <c r="B88" i="57" s="1"/>
  <c r="AR72" i="67" a="1"/>
  <c r="AR72" i="67" s="1"/>
  <c r="B73" i="69"/>
  <c r="L73" i="69" s="1"/>
  <c r="D71" i="69"/>
  <c r="E71" i="69" s="1"/>
  <c r="F71" i="69" s="1"/>
  <c r="G71" i="69" s="1"/>
  <c r="H71" i="69" s="1"/>
  <c r="I71" i="69" s="1"/>
  <c r="J71" i="69" s="1"/>
  <c r="K71" i="69" s="1"/>
  <c r="M71" i="69" s="1"/>
  <c r="AE70" i="69"/>
  <c r="R70" i="69"/>
  <c r="S70" i="69" s="1"/>
  <c r="Y70" i="69" s="1"/>
  <c r="C72" i="69"/>
  <c r="P72" i="69" s="1"/>
  <c r="AP27" i="59" a="1"/>
  <c r="AP27" i="59" s="1"/>
  <c r="E28" i="50" s="1"/>
  <c r="AL17" i="11" a="1"/>
  <c r="AL17" i="11" s="1"/>
  <c r="E18" i="32" s="1"/>
  <c r="X85" i="57" l="1"/>
  <c r="AB85" i="57" s="1"/>
  <c r="AG87" i="57"/>
  <c r="M88" i="53"/>
  <c r="AC88" i="53" s="1"/>
  <c r="O88" i="53"/>
  <c r="AP72" i="69"/>
  <c r="N72" i="69"/>
  <c r="U72" i="69" s="1"/>
  <c r="AF84" i="57"/>
  <c r="AA84" i="57"/>
  <c r="AQ86" i="57"/>
  <c r="AE86" i="57"/>
  <c r="Q86" i="57"/>
  <c r="T86" i="57" s="1"/>
  <c r="AD86" i="57"/>
  <c r="AJ86" i="57"/>
  <c r="R86" i="57"/>
  <c r="AC86" i="57"/>
  <c r="M87" i="57"/>
  <c r="AK87" i="57" s="1"/>
  <c r="Q27" i="50"/>
  <c r="P27" i="50" s="1"/>
  <c r="N88" i="53"/>
  <c r="T18" i="32"/>
  <c r="O18" i="32"/>
  <c r="O28" i="50"/>
  <c r="T28" i="50"/>
  <c r="AA86" i="53"/>
  <c r="AB86" i="53"/>
  <c r="AP22" i="50"/>
  <c r="AK24" i="50"/>
  <c r="AL24" i="50" s="1"/>
  <c r="AM24" i="50" s="1"/>
  <c r="AG24" i="50"/>
  <c r="AH24" i="50" s="1"/>
  <c r="AI24" i="50" s="1"/>
  <c r="AK23" i="50"/>
  <c r="AL23" i="50" s="1"/>
  <c r="AG23" i="50"/>
  <c r="AH23" i="50" s="1"/>
  <c r="AI23" i="50" s="1"/>
  <c r="C26" i="50"/>
  <c r="AJ26" i="50"/>
  <c r="S27" i="50"/>
  <c r="Z27" i="50" s="1"/>
  <c r="W26" i="50"/>
  <c r="X25" i="50"/>
  <c r="AD25" i="50" s="1"/>
  <c r="V26" i="50"/>
  <c r="AF71" i="69"/>
  <c r="Q71" i="69"/>
  <c r="O88" i="57"/>
  <c r="P88" i="57"/>
  <c r="AM23" i="50"/>
  <c r="AC69" i="69"/>
  <c r="AD69" i="69" s="1"/>
  <c r="AB70" i="69"/>
  <c r="AG70" i="69"/>
  <c r="O73" i="69"/>
  <c r="AO72" i="69"/>
  <c r="AF86" i="53"/>
  <c r="AE87" i="53"/>
  <c r="R87" i="53"/>
  <c r="X87" i="53" s="1"/>
  <c r="AY71" i="69"/>
  <c r="L88" i="57"/>
  <c r="AG87" i="53"/>
  <c r="AH87" i="53"/>
  <c r="AT87" i="53"/>
  <c r="N88" i="57"/>
  <c r="K88" i="53"/>
  <c r="AH71" i="69"/>
  <c r="AD87" i="53"/>
  <c r="Q87" i="53"/>
  <c r="P88" i="53"/>
  <c r="D88" i="53"/>
  <c r="C88" i="53"/>
  <c r="E88" i="53"/>
  <c r="H88" i="53"/>
  <c r="F88" i="53"/>
  <c r="AK87" i="52" a="1"/>
  <c r="AK87" i="52" s="1"/>
  <c r="B89" i="53" s="1"/>
  <c r="L88" i="53"/>
  <c r="I88" i="53"/>
  <c r="G88" i="53"/>
  <c r="J88" i="53"/>
  <c r="I28" i="50"/>
  <c r="N28" i="50"/>
  <c r="H28" i="50"/>
  <c r="M28" i="50"/>
  <c r="L28" i="50"/>
  <c r="K28" i="50"/>
  <c r="G28" i="50"/>
  <c r="F28" i="50"/>
  <c r="U28" i="50" s="1"/>
  <c r="J28" i="50"/>
  <c r="B28" i="50"/>
  <c r="R28" i="50" s="1"/>
  <c r="A28" i="50"/>
  <c r="E88" i="57"/>
  <c r="C88" i="57"/>
  <c r="K88" i="57"/>
  <c r="J88" i="57"/>
  <c r="I88" i="57"/>
  <c r="F88" i="57"/>
  <c r="H88" i="57"/>
  <c r="D88" i="57"/>
  <c r="G88" i="57"/>
  <c r="AN87" i="55" a="1"/>
  <c r="AN87" i="55" s="1"/>
  <c r="B89" i="57" s="1"/>
  <c r="AE71" i="69"/>
  <c r="R71" i="69"/>
  <c r="S71" i="69" s="1"/>
  <c r="D72" i="69"/>
  <c r="E72" i="69" s="1"/>
  <c r="F72" i="69" s="1"/>
  <c r="G72" i="69" s="1"/>
  <c r="H72" i="69" s="1"/>
  <c r="I72" i="69" s="1"/>
  <c r="J72" i="69" s="1"/>
  <c r="K72" i="69" s="1"/>
  <c r="M72" i="69" s="1"/>
  <c r="C73" i="69"/>
  <c r="P73" i="69" s="1"/>
  <c r="AR73" i="67" a="1"/>
  <c r="AR73" i="67" s="1"/>
  <c r="B74" i="69"/>
  <c r="L74" i="69" s="1"/>
  <c r="AP28" i="59" a="1"/>
  <c r="AP28" i="59" s="1"/>
  <c r="E29" i="50" s="1"/>
  <c r="AL18" i="11" a="1"/>
  <c r="AL18" i="11" s="1"/>
  <c r="E19" i="32" s="1"/>
  <c r="Y71" i="69" l="1"/>
  <c r="AB71" i="69" s="1"/>
  <c r="AC71" i="69" s="1"/>
  <c r="AD71" i="69" s="1"/>
  <c r="X86" i="57"/>
  <c r="AB86" i="57" s="1"/>
  <c r="AG88" i="57"/>
  <c r="AA85" i="57"/>
  <c r="M89" i="53"/>
  <c r="AC89" i="53" s="1"/>
  <c r="O89" i="53"/>
  <c r="AP73" i="69"/>
  <c r="N73" i="69"/>
  <c r="U73" i="69" s="1"/>
  <c r="AQ87" i="57"/>
  <c r="AF85" i="57"/>
  <c r="AD87" i="57"/>
  <c r="AJ87" i="57"/>
  <c r="R87" i="57"/>
  <c r="Q87" i="57"/>
  <c r="T87" i="57" s="1"/>
  <c r="AC87" i="57"/>
  <c r="AE87" i="57"/>
  <c r="M88" i="57"/>
  <c r="AK88" i="57" s="1"/>
  <c r="Q28" i="50"/>
  <c r="P28" i="50" s="1"/>
  <c r="N89" i="53"/>
  <c r="T19" i="32"/>
  <c r="O19" i="32"/>
  <c r="O29" i="50"/>
  <c r="T29" i="50"/>
  <c r="AA87" i="53"/>
  <c r="AB87" i="53"/>
  <c r="AP24" i="50"/>
  <c r="AP23" i="50"/>
  <c r="AK25" i="50"/>
  <c r="AL25" i="50" s="1"/>
  <c r="AG25" i="50"/>
  <c r="AH25" i="50" s="1"/>
  <c r="AI25" i="50" s="1"/>
  <c r="AJ27" i="50"/>
  <c r="C27" i="50"/>
  <c r="S28" i="50"/>
  <c r="Z28" i="50" s="1"/>
  <c r="W27" i="50"/>
  <c r="X26" i="50"/>
  <c r="AD26" i="50" s="1"/>
  <c r="V27" i="50"/>
  <c r="AF72" i="69"/>
  <c r="Q72" i="69"/>
  <c r="O89" i="57"/>
  <c r="P89" i="57"/>
  <c r="AM25" i="50"/>
  <c r="AC70" i="69"/>
  <c r="AD70" i="69" s="1"/>
  <c r="O74" i="69"/>
  <c r="AO73" i="69"/>
  <c r="AE88" i="53"/>
  <c r="AF87" i="53"/>
  <c r="R88" i="53"/>
  <c r="X88" i="53" s="1"/>
  <c r="AY72" i="69"/>
  <c r="L89" i="57"/>
  <c r="AG88" i="53"/>
  <c r="AH88" i="53"/>
  <c r="AT88" i="53"/>
  <c r="N89" i="57"/>
  <c r="J89" i="53"/>
  <c r="AH72" i="69"/>
  <c r="AD88" i="53"/>
  <c r="Q88" i="53"/>
  <c r="E89" i="53"/>
  <c r="L89" i="53"/>
  <c r="K89" i="53"/>
  <c r="C89" i="53"/>
  <c r="G89" i="53"/>
  <c r="D89" i="53"/>
  <c r="P89" i="53"/>
  <c r="H89" i="53"/>
  <c r="AK88" i="52" a="1"/>
  <c r="AK88" i="52" s="1"/>
  <c r="B90" i="53" s="1"/>
  <c r="I89" i="53"/>
  <c r="F89" i="53"/>
  <c r="B29" i="50"/>
  <c r="R29" i="50" s="1"/>
  <c r="I29" i="50"/>
  <c r="A29" i="50"/>
  <c r="M29" i="50"/>
  <c r="H29" i="50"/>
  <c r="K29" i="50"/>
  <c r="G29" i="50"/>
  <c r="F29" i="50"/>
  <c r="U29" i="50" s="1"/>
  <c r="J29" i="50"/>
  <c r="N29" i="50"/>
  <c r="L29" i="50"/>
  <c r="G89" i="57"/>
  <c r="E89" i="57"/>
  <c r="D89" i="57"/>
  <c r="C89" i="57"/>
  <c r="K89" i="57"/>
  <c r="I89" i="57"/>
  <c r="H89" i="57"/>
  <c r="F89" i="57"/>
  <c r="J89" i="57"/>
  <c r="AN88" i="55" a="1"/>
  <c r="AN88" i="55" s="1"/>
  <c r="B90" i="57" s="1"/>
  <c r="AR74" i="67" a="1"/>
  <c r="AR74" i="67" s="1"/>
  <c r="B75" i="69"/>
  <c r="L75" i="69" s="1"/>
  <c r="AE72" i="69"/>
  <c r="R72" i="69"/>
  <c r="S72" i="69" s="1"/>
  <c r="Y72" i="69" s="1"/>
  <c r="D73" i="69"/>
  <c r="E73" i="69" s="1"/>
  <c r="F73" i="69" s="1"/>
  <c r="G73" i="69" s="1"/>
  <c r="H73" i="69" s="1"/>
  <c r="I73" i="69" s="1"/>
  <c r="J73" i="69" s="1"/>
  <c r="K73" i="69" s="1"/>
  <c r="M73" i="69" s="1"/>
  <c r="C74" i="69"/>
  <c r="P74" i="69" s="1"/>
  <c r="AP29" i="59" a="1"/>
  <c r="AP29" i="59" s="1"/>
  <c r="E30" i="50" s="1"/>
  <c r="AL19" i="11" a="1"/>
  <c r="AL19" i="11" s="1"/>
  <c r="E20" i="32" s="1"/>
  <c r="AG71" i="69" l="1"/>
  <c r="X87" i="57"/>
  <c r="AB87" i="57" s="1"/>
  <c r="AG89" i="57"/>
  <c r="M90" i="53"/>
  <c r="O90" i="53"/>
  <c r="AP74" i="69"/>
  <c r="N74" i="69"/>
  <c r="U74" i="69" s="1"/>
  <c r="AF86" i="57"/>
  <c r="AA86" i="57"/>
  <c r="AQ88" i="57"/>
  <c r="AE88" i="57"/>
  <c r="AD88" i="57"/>
  <c r="AJ88" i="57"/>
  <c r="R88" i="57"/>
  <c r="Q88" i="57"/>
  <c r="T88" i="57" s="1"/>
  <c r="AC88" i="57"/>
  <c r="M89" i="57"/>
  <c r="AK89" i="57" s="1"/>
  <c r="Q29" i="50"/>
  <c r="P29" i="50" s="1"/>
  <c r="N90" i="53"/>
  <c r="O20" i="32"/>
  <c r="T20" i="32"/>
  <c r="T30" i="50"/>
  <c r="O30" i="50"/>
  <c r="AA88" i="53"/>
  <c r="AB88" i="53"/>
  <c r="AP25" i="50"/>
  <c r="AK26" i="50"/>
  <c r="AL26" i="50" s="1"/>
  <c r="AG26" i="50"/>
  <c r="AH26" i="50" s="1"/>
  <c r="AI26" i="50" s="1"/>
  <c r="C28" i="50"/>
  <c r="AJ28" i="50"/>
  <c r="S29" i="50"/>
  <c r="Z29" i="50" s="1"/>
  <c r="W28" i="50"/>
  <c r="X27" i="50"/>
  <c r="AD27" i="50" s="1"/>
  <c r="V28" i="50"/>
  <c r="AF73" i="69"/>
  <c r="Q73" i="69"/>
  <c r="O90" i="57"/>
  <c r="P90" i="57"/>
  <c r="AM26" i="50"/>
  <c r="AB72" i="69"/>
  <c r="AG72" i="69"/>
  <c r="AO74" i="69"/>
  <c r="O75" i="69"/>
  <c r="AF88" i="53"/>
  <c r="AE89" i="53"/>
  <c r="R89" i="53"/>
  <c r="X89" i="53" s="1"/>
  <c r="AY73" i="69"/>
  <c r="L90" i="57"/>
  <c r="AG89" i="53"/>
  <c r="AH89" i="53"/>
  <c r="AT89" i="53"/>
  <c r="N90" i="57"/>
  <c r="P90" i="53"/>
  <c r="AH73" i="69"/>
  <c r="AD89" i="53"/>
  <c r="Q89" i="53"/>
  <c r="F90" i="53"/>
  <c r="L90" i="53"/>
  <c r="D90" i="53"/>
  <c r="G90" i="53"/>
  <c r="H90" i="53"/>
  <c r="I90" i="53"/>
  <c r="C90" i="53"/>
  <c r="E90" i="53"/>
  <c r="AK89" i="52" a="1"/>
  <c r="AK89" i="52" s="1"/>
  <c r="B91" i="53" s="1"/>
  <c r="J90" i="53"/>
  <c r="K90" i="53"/>
  <c r="AC90" i="53"/>
  <c r="G30" i="50"/>
  <c r="B30" i="50"/>
  <c r="R30" i="50" s="1"/>
  <c r="M30" i="50"/>
  <c r="L30" i="50"/>
  <c r="F30" i="50"/>
  <c r="U30" i="50" s="1"/>
  <c r="A30" i="50"/>
  <c r="N30" i="50"/>
  <c r="H30" i="50"/>
  <c r="K30" i="50"/>
  <c r="J30" i="50"/>
  <c r="I30" i="50"/>
  <c r="C90" i="57"/>
  <c r="H90" i="57"/>
  <c r="J90" i="57"/>
  <c r="D90" i="57"/>
  <c r="G90" i="57"/>
  <c r="K90" i="57"/>
  <c r="E90" i="57"/>
  <c r="F90" i="57"/>
  <c r="I90" i="57"/>
  <c r="AN89" i="55" a="1"/>
  <c r="AN89" i="55" s="1"/>
  <c r="B91" i="57" s="1"/>
  <c r="D74" i="69"/>
  <c r="E74" i="69" s="1"/>
  <c r="F74" i="69" s="1"/>
  <c r="G74" i="69" s="1"/>
  <c r="H74" i="69" s="1"/>
  <c r="I74" i="69" s="1"/>
  <c r="J74" i="69" s="1"/>
  <c r="K74" i="69" s="1"/>
  <c r="M74" i="69" s="1"/>
  <c r="AE73" i="69"/>
  <c r="R73" i="69"/>
  <c r="S73" i="69" s="1"/>
  <c r="Y73" i="69" s="1"/>
  <c r="C75" i="69"/>
  <c r="P75" i="69" s="1"/>
  <c r="AR75" i="67" a="1"/>
  <c r="AR75" i="67" s="1"/>
  <c r="B76" i="69"/>
  <c r="L76" i="69" s="1"/>
  <c r="AP30" i="59" a="1"/>
  <c r="AP30" i="59" s="1"/>
  <c r="E31" i="50" s="1"/>
  <c r="AL20" i="11" a="1"/>
  <c r="AL20" i="11" s="1"/>
  <c r="E21" i="32" s="1"/>
  <c r="Q89" i="57" l="1"/>
  <c r="T89" i="57" s="1"/>
  <c r="X88" i="57"/>
  <c r="AB88" i="57" s="1"/>
  <c r="AG90" i="57"/>
  <c r="M91" i="53"/>
  <c r="AC91" i="53" s="1"/>
  <c r="O91" i="53"/>
  <c r="AP75" i="69"/>
  <c r="N75" i="69"/>
  <c r="U75" i="69" s="1"/>
  <c r="AJ89" i="57"/>
  <c r="R89" i="57"/>
  <c r="AD89" i="57"/>
  <c r="AF87" i="57"/>
  <c r="AA87" i="57"/>
  <c r="AQ89" i="57"/>
  <c r="AC89" i="57"/>
  <c r="M90" i="57"/>
  <c r="AK90" i="57" s="1"/>
  <c r="AE89" i="57"/>
  <c r="Q30" i="50"/>
  <c r="P30" i="50" s="1"/>
  <c r="N91" i="53"/>
  <c r="O21" i="32"/>
  <c r="T21" i="32"/>
  <c r="T31" i="50"/>
  <c r="O31" i="50"/>
  <c r="AA89" i="53"/>
  <c r="AB89" i="53"/>
  <c r="AP26" i="50"/>
  <c r="AK27" i="50"/>
  <c r="AL27" i="50" s="1"/>
  <c r="AG27" i="50"/>
  <c r="AH27" i="50" s="1"/>
  <c r="AI27" i="50" s="1"/>
  <c r="AJ29" i="50"/>
  <c r="C29" i="50"/>
  <c r="S30" i="50"/>
  <c r="Z30" i="50" s="1"/>
  <c r="W29" i="50"/>
  <c r="X28" i="50"/>
  <c r="AD28" i="50" s="1"/>
  <c r="V29" i="50"/>
  <c r="AF74" i="69"/>
  <c r="Q74" i="69"/>
  <c r="O91" i="57"/>
  <c r="P91" i="57"/>
  <c r="AM27" i="50"/>
  <c r="AC72" i="69"/>
  <c r="AD72" i="69" s="1"/>
  <c r="AB73" i="69"/>
  <c r="AG73" i="69"/>
  <c r="O76" i="69"/>
  <c r="AO75" i="69"/>
  <c r="AE90" i="53"/>
  <c r="AF89" i="53"/>
  <c r="R90" i="53"/>
  <c r="X90" i="53" s="1"/>
  <c r="AY74" i="69"/>
  <c r="L91" i="57"/>
  <c r="AH90" i="53"/>
  <c r="AT90" i="53"/>
  <c r="AG90" i="53"/>
  <c r="N91" i="57"/>
  <c r="G91" i="53"/>
  <c r="AH74" i="69"/>
  <c r="AD90" i="53"/>
  <c r="Q90" i="53"/>
  <c r="F91" i="53"/>
  <c r="H91" i="53"/>
  <c r="E91" i="53"/>
  <c r="J91" i="53"/>
  <c r="C91" i="53"/>
  <c r="I91" i="53"/>
  <c r="D91" i="53"/>
  <c r="AK90" i="52" a="1"/>
  <c r="AK90" i="52" s="1"/>
  <c r="B92" i="53" s="1"/>
  <c r="P91" i="53"/>
  <c r="L91" i="53"/>
  <c r="K91" i="53"/>
  <c r="M31" i="50"/>
  <c r="H31" i="50"/>
  <c r="I31" i="50"/>
  <c r="J31" i="50"/>
  <c r="N31" i="50"/>
  <c r="F31" i="50"/>
  <c r="U31" i="50" s="1"/>
  <c r="G31" i="50"/>
  <c r="K31" i="50"/>
  <c r="A31" i="50"/>
  <c r="L31" i="50"/>
  <c r="B31" i="50"/>
  <c r="R31" i="50" s="1"/>
  <c r="H91" i="57"/>
  <c r="G91" i="57"/>
  <c r="E91" i="57"/>
  <c r="D91" i="57"/>
  <c r="C91" i="57"/>
  <c r="K91" i="57"/>
  <c r="I91" i="57"/>
  <c r="F91" i="57"/>
  <c r="J91" i="57"/>
  <c r="AN90" i="55" a="1"/>
  <c r="AN90" i="55" s="1"/>
  <c r="B92" i="57" s="1"/>
  <c r="AR76" i="67" a="1"/>
  <c r="AR76" i="67" s="1"/>
  <c r="B77" i="69"/>
  <c r="L77" i="69" s="1"/>
  <c r="AE74" i="69"/>
  <c r="R74" i="69"/>
  <c r="S74" i="69" s="1"/>
  <c r="Y74" i="69" s="1"/>
  <c r="C76" i="69"/>
  <c r="P76" i="69" s="1"/>
  <c r="D75" i="69"/>
  <c r="E75" i="69" s="1"/>
  <c r="F75" i="69" s="1"/>
  <c r="G75" i="69" s="1"/>
  <c r="H75" i="69" s="1"/>
  <c r="I75" i="69" s="1"/>
  <c r="J75" i="69" s="1"/>
  <c r="K75" i="69" s="1"/>
  <c r="M75" i="69" s="1"/>
  <c r="AP31" i="59" a="1"/>
  <c r="AP31" i="59" s="1"/>
  <c r="E32" i="50" s="1"/>
  <c r="AL21" i="11" a="1"/>
  <c r="AL21" i="11" s="1"/>
  <c r="E22" i="32" s="1"/>
  <c r="X89" i="57" l="1"/>
  <c r="AA89" i="57" s="1"/>
  <c r="AG91" i="57"/>
  <c r="AA88" i="57"/>
  <c r="M92" i="53"/>
  <c r="AC92" i="53" s="1"/>
  <c r="O92" i="53"/>
  <c r="AP76" i="69"/>
  <c r="N76" i="69"/>
  <c r="U76" i="69" s="1"/>
  <c r="Q90" i="57"/>
  <c r="T90" i="57" s="1"/>
  <c r="AQ90" i="57"/>
  <c r="AE90" i="57"/>
  <c r="AF88" i="57"/>
  <c r="AD90" i="57"/>
  <c r="AJ90" i="57"/>
  <c r="R90" i="57"/>
  <c r="M91" i="57"/>
  <c r="AK91" i="57" s="1"/>
  <c r="AC90" i="57"/>
  <c r="Q31" i="50"/>
  <c r="P31" i="50" s="1"/>
  <c r="N92" i="53"/>
  <c r="T22" i="32"/>
  <c r="O22" i="32"/>
  <c r="O32" i="50"/>
  <c r="T32" i="50"/>
  <c r="AA90" i="53"/>
  <c r="AB90" i="53"/>
  <c r="AP27" i="50"/>
  <c r="AK28" i="50"/>
  <c r="AL28" i="50" s="1"/>
  <c r="AG28" i="50"/>
  <c r="AH28" i="50" s="1"/>
  <c r="AI28" i="50" s="1"/>
  <c r="AJ30" i="50"/>
  <c r="C30" i="50"/>
  <c r="S31" i="50"/>
  <c r="Z31" i="50" s="1"/>
  <c r="W30" i="50"/>
  <c r="X29" i="50"/>
  <c r="AD29" i="50" s="1"/>
  <c r="V30" i="50"/>
  <c r="AF75" i="69"/>
  <c r="Q75" i="69"/>
  <c r="O92" i="57"/>
  <c r="P92" i="57"/>
  <c r="AM28" i="50"/>
  <c r="AC73" i="69"/>
  <c r="AD73" i="69" s="1"/>
  <c r="AB74" i="69"/>
  <c r="AG74" i="69"/>
  <c r="O77" i="69"/>
  <c r="AO76" i="69"/>
  <c r="AF90" i="53"/>
  <c r="AE91" i="53"/>
  <c r="AK22" i="32"/>
  <c r="R91" i="53"/>
  <c r="X91" i="53" s="1"/>
  <c r="AY75" i="69"/>
  <c r="L92" i="57"/>
  <c r="AG91" i="53"/>
  <c r="AH91" i="53"/>
  <c r="AT91" i="53"/>
  <c r="N92" i="57"/>
  <c r="I92" i="53"/>
  <c r="AH75" i="69"/>
  <c r="Q91" i="53"/>
  <c r="AD91" i="53"/>
  <c r="G92" i="53"/>
  <c r="L92" i="53"/>
  <c r="J92" i="53"/>
  <c r="E92" i="53"/>
  <c r="H92" i="53"/>
  <c r="C92" i="53"/>
  <c r="P92" i="53"/>
  <c r="K92" i="53"/>
  <c r="F92" i="53"/>
  <c r="AK91" i="52" a="1"/>
  <c r="AK91" i="52" s="1"/>
  <c r="B93" i="53" s="1"/>
  <c r="D92" i="53"/>
  <c r="F32" i="50"/>
  <c r="U32" i="50" s="1"/>
  <c r="I32" i="50"/>
  <c r="J32" i="50"/>
  <c r="L32" i="50"/>
  <c r="M32" i="50"/>
  <c r="K32" i="50"/>
  <c r="N32" i="50"/>
  <c r="B32" i="50"/>
  <c r="R32" i="50" s="1"/>
  <c r="A32" i="50"/>
  <c r="G32" i="50"/>
  <c r="H32" i="50"/>
  <c r="K92" i="57"/>
  <c r="I92" i="57"/>
  <c r="F92" i="57"/>
  <c r="C92" i="57"/>
  <c r="G92" i="57"/>
  <c r="H92" i="57"/>
  <c r="E92" i="57"/>
  <c r="D92" i="57"/>
  <c r="J92" i="57"/>
  <c r="AN91" i="55" a="1"/>
  <c r="AN91" i="55" s="1"/>
  <c r="B93" i="57" s="1"/>
  <c r="C77" i="69"/>
  <c r="P77" i="69" s="1"/>
  <c r="AE75" i="69"/>
  <c r="R75" i="69"/>
  <c r="S75" i="69" s="1"/>
  <c r="Y75" i="69" s="1"/>
  <c r="D76" i="69"/>
  <c r="E76" i="69" s="1"/>
  <c r="F76" i="69" s="1"/>
  <c r="G76" i="69" s="1"/>
  <c r="H76" i="69" s="1"/>
  <c r="I76" i="69" s="1"/>
  <c r="J76" i="69" s="1"/>
  <c r="K76" i="69" s="1"/>
  <c r="M76" i="69" s="1"/>
  <c r="AR77" i="67" a="1"/>
  <c r="AR77" i="67" s="1"/>
  <c r="B78" i="69"/>
  <c r="L78" i="69" s="1"/>
  <c r="AP32" i="59" a="1"/>
  <c r="AP32" i="59" s="1"/>
  <c r="E33" i="50" s="1"/>
  <c r="AL22" i="11" a="1"/>
  <c r="AL22" i="11" s="1"/>
  <c r="E23" i="32" s="1"/>
  <c r="AF89" i="57" l="1"/>
  <c r="AB89" i="57"/>
  <c r="AG92" i="57"/>
  <c r="X90" i="57"/>
  <c r="AA90" i="57" s="1"/>
  <c r="M93" i="53"/>
  <c r="AC93" i="53" s="1"/>
  <c r="O93" i="53"/>
  <c r="AP77" i="69"/>
  <c r="N77" i="69"/>
  <c r="U77" i="69" s="1"/>
  <c r="AJ91" i="57"/>
  <c r="R91" i="57"/>
  <c r="AD91" i="57"/>
  <c r="AE91" i="57"/>
  <c r="Q91" i="57"/>
  <c r="T91" i="57" s="1"/>
  <c r="AC91" i="57"/>
  <c r="AQ91" i="57"/>
  <c r="M92" i="57"/>
  <c r="AK92" i="57" s="1"/>
  <c r="Q32" i="50"/>
  <c r="P32" i="50" s="1"/>
  <c r="N93" i="53"/>
  <c r="T23" i="32"/>
  <c r="O23" i="32"/>
  <c r="O33" i="50"/>
  <c r="T33" i="50"/>
  <c r="AA91" i="53"/>
  <c r="AB91" i="53"/>
  <c r="AP28" i="50"/>
  <c r="AK29" i="50"/>
  <c r="AL29" i="50" s="1"/>
  <c r="AG29" i="50"/>
  <c r="AH29" i="50" s="1"/>
  <c r="AI29" i="50" s="1"/>
  <c r="AJ31" i="50"/>
  <c r="C31" i="50"/>
  <c r="S32" i="50"/>
  <c r="Z32" i="50" s="1"/>
  <c r="W31" i="50"/>
  <c r="X30" i="50"/>
  <c r="AD30" i="50" s="1"/>
  <c r="V31" i="50"/>
  <c r="AF76" i="69"/>
  <c r="Q76" i="69"/>
  <c r="O93" i="57"/>
  <c r="P93" i="57"/>
  <c r="AM29" i="50"/>
  <c r="AC74" i="69"/>
  <c r="AD74" i="69" s="1"/>
  <c r="AB75" i="69"/>
  <c r="AG75" i="69"/>
  <c r="O78" i="69"/>
  <c r="AO77" i="69"/>
  <c r="AE92" i="53"/>
  <c r="AF91" i="53"/>
  <c r="AK23" i="32"/>
  <c r="R92" i="53"/>
  <c r="X92" i="53" s="1"/>
  <c r="AY76" i="69"/>
  <c r="L93" i="57"/>
  <c r="AG92" i="53"/>
  <c r="AH92" i="53"/>
  <c r="AT92" i="53"/>
  <c r="N93" i="57"/>
  <c r="C93" i="53"/>
  <c r="AH76" i="69"/>
  <c r="AD92" i="53"/>
  <c r="Q92" i="53"/>
  <c r="G93" i="53"/>
  <c r="F93" i="53"/>
  <c r="P93" i="53"/>
  <c r="I93" i="53"/>
  <c r="J93" i="53"/>
  <c r="K93" i="53"/>
  <c r="H93" i="53"/>
  <c r="E93" i="53"/>
  <c r="AK92" i="52" a="1"/>
  <c r="AK92" i="52" s="1"/>
  <c r="B94" i="53" s="1"/>
  <c r="L93" i="53"/>
  <c r="D93" i="53"/>
  <c r="M33" i="50"/>
  <c r="F33" i="50"/>
  <c r="U33" i="50" s="1"/>
  <c r="A33" i="50"/>
  <c r="B33" i="50"/>
  <c r="R33" i="50" s="1"/>
  <c r="L33" i="50"/>
  <c r="G33" i="50"/>
  <c r="H33" i="50"/>
  <c r="I33" i="50"/>
  <c r="K33" i="50"/>
  <c r="J33" i="50"/>
  <c r="N33" i="50"/>
  <c r="D93" i="57"/>
  <c r="C93" i="57"/>
  <c r="K93" i="57"/>
  <c r="I93" i="57"/>
  <c r="H93" i="57"/>
  <c r="G93" i="57"/>
  <c r="E93" i="57"/>
  <c r="F93" i="57"/>
  <c r="J93" i="57"/>
  <c r="AN92" i="55" a="1"/>
  <c r="AN92" i="55" s="1"/>
  <c r="B94" i="57" s="1"/>
  <c r="AR78" i="67" a="1"/>
  <c r="AR78" i="67" s="1"/>
  <c r="B79" i="69"/>
  <c r="L79" i="69" s="1"/>
  <c r="D77" i="69"/>
  <c r="E77" i="69" s="1"/>
  <c r="F77" i="69" s="1"/>
  <c r="G77" i="69" s="1"/>
  <c r="H77" i="69" s="1"/>
  <c r="I77" i="69" s="1"/>
  <c r="J77" i="69" s="1"/>
  <c r="K77" i="69" s="1"/>
  <c r="M77" i="69" s="1"/>
  <c r="C78" i="69"/>
  <c r="P78" i="69" s="1"/>
  <c r="AE76" i="69"/>
  <c r="R76" i="69"/>
  <c r="S76" i="69" s="1"/>
  <c r="Y76" i="69" s="1"/>
  <c r="AL23" i="11" a="1"/>
  <c r="AL23" i="11" s="1"/>
  <c r="E24" i="32" s="1"/>
  <c r="AP33" i="59" a="1"/>
  <c r="AP33" i="59" s="1"/>
  <c r="E34" i="50" s="1"/>
  <c r="X91" i="57" l="1"/>
  <c r="AF91" i="57" s="1"/>
  <c r="AG93" i="57"/>
  <c r="M94" i="53"/>
  <c r="AC94" i="53" s="1"/>
  <c r="O94" i="53"/>
  <c r="AP78" i="69"/>
  <c r="N78" i="69"/>
  <c r="U78" i="69" s="1"/>
  <c r="AF90" i="57"/>
  <c r="AB90" i="57"/>
  <c r="Q92" i="57"/>
  <c r="T92" i="57" s="1"/>
  <c r="AQ92" i="57"/>
  <c r="AD92" i="57"/>
  <c r="AJ92" i="57"/>
  <c r="R92" i="57"/>
  <c r="AC92" i="57"/>
  <c r="AE92" i="57"/>
  <c r="M93" i="57"/>
  <c r="AK93" i="57" s="1"/>
  <c r="Q33" i="50"/>
  <c r="P33" i="50" s="1"/>
  <c r="N94" i="53"/>
  <c r="O24" i="32"/>
  <c r="T24" i="32"/>
  <c r="T34" i="50"/>
  <c r="O34" i="50"/>
  <c r="AA92" i="53"/>
  <c r="AB92" i="53"/>
  <c r="AP29" i="50"/>
  <c r="AK30" i="50"/>
  <c r="AL30" i="50" s="1"/>
  <c r="AG30" i="50"/>
  <c r="AH30" i="50" s="1"/>
  <c r="AI30" i="50" s="1"/>
  <c r="AJ32" i="50"/>
  <c r="C32" i="50"/>
  <c r="S33" i="50"/>
  <c r="Z33" i="50" s="1"/>
  <c r="W32" i="50"/>
  <c r="X31" i="50"/>
  <c r="AD31" i="50" s="1"/>
  <c r="V32" i="50"/>
  <c r="AF77" i="69"/>
  <c r="Q77" i="69"/>
  <c r="O94" i="57"/>
  <c r="P94" i="57"/>
  <c r="AM30" i="50"/>
  <c r="AC75" i="69"/>
  <c r="AD75" i="69" s="1"/>
  <c r="AB76" i="69"/>
  <c r="AG76" i="69"/>
  <c r="O79" i="69"/>
  <c r="AO78" i="69"/>
  <c r="AE93" i="53"/>
  <c r="AF92" i="53"/>
  <c r="AK24" i="32"/>
  <c r="R93" i="53"/>
  <c r="X93" i="53" s="1"/>
  <c r="AY77" i="69"/>
  <c r="L94" i="57"/>
  <c r="AH93" i="53"/>
  <c r="AT93" i="53"/>
  <c r="AG93" i="53"/>
  <c r="N94" i="57"/>
  <c r="AH77" i="69"/>
  <c r="AD93" i="53"/>
  <c r="Q93" i="53"/>
  <c r="F94" i="53"/>
  <c r="K94" i="53"/>
  <c r="P94" i="53"/>
  <c r="H94" i="53"/>
  <c r="J94" i="53"/>
  <c r="G94" i="53"/>
  <c r="C94" i="53"/>
  <c r="E94" i="53"/>
  <c r="AK93" i="52" a="1"/>
  <c r="AK93" i="52" s="1"/>
  <c r="B95" i="53" s="1"/>
  <c r="I94" i="53"/>
  <c r="L94" i="53"/>
  <c r="D94" i="53"/>
  <c r="A34" i="50"/>
  <c r="M34" i="50"/>
  <c r="J34" i="50"/>
  <c r="N34" i="50"/>
  <c r="H34" i="50"/>
  <c r="B34" i="50"/>
  <c r="R34" i="50" s="1"/>
  <c r="I34" i="50"/>
  <c r="F34" i="50"/>
  <c r="U34" i="50" s="1"/>
  <c r="K34" i="50"/>
  <c r="L34" i="50"/>
  <c r="G34" i="50"/>
  <c r="J94" i="57"/>
  <c r="G94" i="57"/>
  <c r="E94" i="57"/>
  <c r="D94" i="57"/>
  <c r="I94" i="57"/>
  <c r="C94" i="57"/>
  <c r="K94" i="57"/>
  <c r="F94" i="57"/>
  <c r="H94" i="57"/>
  <c r="AN93" i="55" a="1"/>
  <c r="AN93" i="55" s="1"/>
  <c r="B95" i="57" s="1"/>
  <c r="C79" i="69"/>
  <c r="P79" i="69" s="1"/>
  <c r="D78" i="69"/>
  <c r="E78" i="69" s="1"/>
  <c r="F78" i="69" s="1"/>
  <c r="G78" i="69" s="1"/>
  <c r="H78" i="69" s="1"/>
  <c r="I78" i="69" s="1"/>
  <c r="J78" i="69" s="1"/>
  <c r="K78" i="69" s="1"/>
  <c r="M78" i="69" s="1"/>
  <c r="AE77" i="69"/>
  <c r="R77" i="69"/>
  <c r="S77" i="69" s="1"/>
  <c r="Y77" i="69" s="1"/>
  <c r="AR79" i="67" a="1"/>
  <c r="AR79" i="67" s="1"/>
  <c r="B80" i="69"/>
  <c r="L80" i="69" s="1"/>
  <c r="AL24" i="11" a="1"/>
  <c r="AL24" i="11" s="1"/>
  <c r="E25" i="32" s="1"/>
  <c r="AP34" i="59" a="1"/>
  <c r="AP34" i="59" s="1"/>
  <c r="E35" i="50" s="1"/>
  <c r="X92" i="57" l="1"/>
  <c r="AF92" i="57" s="1"/>
  <c r="AG94" i="57"/>
  <c r="M95" i="53"/>
  <c r="AC95" i="53" s="1"/>
  <c r="O95" i="53"/>
  <c r="AP79" i="69"/>
  <c r="N79" i="69"/>
  <c r="U79" i="69" s="1"/>
  <c r="AE93" i="57"/>
  <c r="AA91" i="57"/>
  <c r="AB91" i="57"/>
  <c r="Q93" i="57"/>
  <c r="T93" i="57" s="1"/>
  <c r="AQ93" i="57"/>
  <c r="AJ93" i="57"/>
  <c r="R93" i="57"/>
  <c r="AD93" i="57"/>
  <c r="AC93" i="57"/>
  <c r="M94" i="57"/>
  <c r="AQ94" i="57" s="1"/>
  <c r="Q34" i="50"/>
  <c r="P34" i="50" s="1"/>
  <c r="N95" i="53"/>
  <c r="O25" i="32"/>
  <c r="T25" i="32"/>
  <c r="T35" i="50"/>
  <c r="O35" i="50"/>
  <c r="AA93" i="53"/>
  <c r="AB93" i="53"/>
  <c r="AP30" i="50"/>
  <c r="AK31" i="50"/>
  <c r="AL31" i="50" s="1"/>
  <c r="AG31" i="50"/>
  <c r="AH31" i="50" s="1"/>
  <c r="AI31" i="50" s="1"/>
  <c r="C33" i="50"/>
  <c r="AJ33" i="50"/>
  <c r="S34" i="50"/>
  <c r="Z34" i="50" s="1"/>
  <c r="W33" i="50"/>
  <c r="X32" i="50"/>
  <c r="V33" i="50"/>
  <c r="AF78" i="69"/>
  <c r="Q78" i="69"/>
  <c r="O95" i="57"/>
  <c r="P95" i="57"/>
  <c r="AD32" i="50"/>
  <c r="AM31" i="50"/>
  <c r="AC76" i="69"/>
  <c r="AD76" i="69" s="1"/>
  <c r="AB77" i="69"/>
  <c r="AG77" i="69"/>
  <c r="O80" i="69"/>
  <c r="AO79" i="69"/>
  <c r="AE94" i="53"/>
  <c r="AF93" i="53"/>
  <c r="AK25" i="32"/>
  <c r="R94" i="53"/>
  <c r="X94" i="53" s="1"/>
  <c r="AY78" i="69"/>
  <c r="L95" i="57"/>
  <c r="AH94" i="53"/>
  <c r="AT94" i="53"/>
  <c r="AG94" i="53"/>
  <c r="N95" i="57"/>
  <c r="G95" i="53"/>
  <c r="AH78" i="69"/>
  <c r="AD94" i="53"/>
  <c r="Q94" i="53"/>
  <c r="I95" i="53"/>
  <c r="L95" i="53"/>
  <c r="F95" i="53"/>
  <c r="E95" i="53"/>
  <c r="AK94" i="52" a="1"/>
  <c r="AK94" i="52" s="1"/>
  <c r="B96" i="53" s="1"/>
  <c r="H95" i="53"/>
  <c r="K95" i="53"/>
  <c r="J95" i="53"/>
  <c r="C95" i="53"/>
  <c r="D95" i="53"/>
  <c r="P95" i="53"/>
  <c r="F35" i="50"/>
  <c r="U35" i="50" s="1"/>
  <c r="A35" i="50"/>
  <c r="M35" i="50"/>
  <c r="K35" i="50"/>
  <c r="L35" i="50"/>
  <c r="J35" i="50"/>
  <c r="I35" i="50"/>
  <c r="H35" i="50"/>
  <c r="N35" i="50"/>
  <c r="B35" i="50"/>
  <c r="R35" i="50" s="1"/>
  <c r="G35" i="50"/>
  <c r="E95" i="57"/>
  <c r="C95" i="57"/>
  <c r="K95" i="57"/>
  <c r="G95" i="57"/>
  <c r="H95" i="57"/>
  <c r="D95" i="57"/>
  <c r="I95" i="57"/>
  <c r="F95" i="57"/>
  <c r="J95" i="57"/>
  <c r="AN94" i="55" a="1"/>
  <c r="AN94" i="55" s="1"/>
  <c r="B96" i="57" s="1"/>
  <c r="AR80" i="67" a="1"/>
  <c r="AR80" i="67" s="1"/>
  <c r="B81" i="69"/>
  <c r="L81" i="69" s="1"/>
  <c r="D79" i="69"/>
  <c r="E79" i="69" s="1"/>
  <c r="F79" i="69" s="1"/>
  <c r="G79" i="69" s="1"/>
  <c r="H79" i="69" s="1"/>
  <c r="I79" i="69" s="1"/>
  <c r="J79" i="69" s="1"/>
  <c r="K79" i="69" s="1"/>
  <c r="M79" i="69" s="1"/>
  <c r="C80" i="69"/>
  <c r="P80" i="69" s="1"/>
  <c r="R78" i="69"/>
  <c r="S78" i="69" s="1"/>
  <c r="Y78" i="69" s="1"/>
  <c r="AE78" i="69"/>
  <c r="AL25" i="11" a="1"/>
  <c r="AL25" i="11" s="1"/>
  <c r="E26" i="32" s="1"/>
  <c r="AP35" i="59" a="1"/>
  <c r="AP35" i="59" s="1"/>
  <c r="E36" i="50" s="1"/>
  <c r="X93" i="57" l="1"/>
  <c r="AB93" i="57" s="1"/>
  <c r="AG95" i="57"/>
  <c r="AA92" i="57"/>
  <c r="M96" i="53"/>
  <c r="AC96" i="53" s="1"/>
  <c r="O96" i="53"/>
  <c r="AP80" i="69"/>
  <c r="N80" i="69"/>
  <c r="U80" i="69" s="1"/>
  <c r="AB92" i="57"/>
  <c r="AJ94" i="57"/>
  <c r="Q94" i="57"/>
  <c r="T94" i="57" s="1"/>
  <c r="R94" i="57"/>
  <c r="AD94" i="57"/>
  <c r="AC94" i="57"/>
  <c r="AK94" i="57"/>
  <c r="AE94" i="57"/>
  <c r="M95" i="57"/>
  <c r="AK95" i="57" s="1"/>
  <c r="Q35" i="50"/>
  <c r="P35" i="50" s="1"/>
  <c r="N96" i="53"/>
  <c r="T26" i="32"/>
  <c r="O26" i="32"/>
  <c r="O36" i="50"/>
  <c r="T36" i="50"/>
  <c r="AA94" i="53"/>
  <c r="AB94" i="53"/>
  <c r="AP31" i="50"/>
  <c r="AJ34" i="50"/>
  <c r="C34" i="50"/>
  <c r="S35" i="50"/>
  <c r="Z35" i="50" s="1"/>
  <c r="W34" i="50"/>
  <c r="X33" i="50"/>
  <c r="AD33" i="50" s="1"/>
  <c r="V34" i="50"/>
  <c r="AF79" i="69"/>
  <c r="Q79" i="69"/>
  <c r="O96" i="57"/>
  <c r="P96" i="57"/>
  <c r="AM32" i="50"/>
  <c r="AC77" i="69"/>
  <c r="AD77" i="69" s="1"/>
  <c r="AB78" i="69"/>
  <c r="AG78" i="69"/>
  <c r="AO80" i="69"/>
  <c r="O81" i="69"/>
  <c r="AF94" i="53"/>
  <c r="AE95" i="53"/>
  <c r="AK26" i="32"/>
  <c r="R95" i="53"/>
  <c r="X95" i="53" s="1"/>
  <c r="AY79" i="69"/>
  <c r="L96" i="57"/>
  <c r="AG95" i="53"/>
  <c r="AH95" i="53"/>
  <c r="AT95" i="53"/>
  <c r="N96" i="57"/>
  <c r="AH79" i="69"/>
  <c r="AD95" i="53"/>
  <c r="J96" i="53"/>
  <c r="F96" i="53"/>
  <c r="H96" i="53"/>
  <c r="I96" i="53"/>
  <c r="P96" i="53"/>
  <c r="G96" i="53"/>
  <c r="E96" i="53"/>
  <c r="K96" i="53"/>
  <c r="Q95" i="53"/>
  <c r="AK95" i="52" a="1"/>
  <c r="AK95" i="52" s="1"/>
  <c r="B97" i="53" s="1"/>
  <c r="L96" i="53"/>
  <c r="D96" i="53"/>
  <c r="C96" i="53"/>
  <c r="F36" i="50"/>
  <c r="U36" i="50" s="1"/>
  <c r="H36" i="50"/>
  <c r="M36" i="50"/>
  <c r="N36" i="50"/>
  <c r="G36" i="50"/>
  <c r="L36" i="50"/>
  <c r="K36" i="50"/>
  <c r="I36" i="50"/>
  <c r="J36" i="50"/>
  <c r="B36" i="50"/>
  <c r="R36" i="50" s="1"/>
  <c r="A36" i="50"/>
  <c r="F96" i="57"/>
  <c r="E96" i="57"/>
  <c r="C96" i="57"/>
  <c r="I96" i="57"/>
  <c r="J96" i="57"/>
  <c r="K96" i="57"/>
  <c r="H96" i="57"/>
  <c r="D96" i="57"/>
  <c r="G96" i="57"/>
  <c r="AN95" i="55" a="1"/>
  <c r="AN95" i="55" s="1"/>
  <c r="B97" i="57" s="1"/>
  <c r="AR81" i="67" a="1"/>
  <c r="AR81" i="67" s="1"/>
  <c r="B82" i="69"/>
  <c r="L82" i="69" s="1"/>
  <c r="C81" i="69"/>
  <c r="P81" i="69" s="1"/>
  <c r="D80" i="69"/>
  <c r="E80" i="69" s="1"/>
  <c r="F80" i="69" s="1"/>
  <c r="G80" i="69" s="1"/>
  <c r="H80" i="69" s="1"/>
  <c r="I80" i="69" s="1"/>
  <c r="J80" i="69" s="1"/>
  <c r="K80" i="69" s="1"/>
  <c r="M80" i="69" s="1"/>
  <c r="AE79" i="69"/>
  <c r="R79" i="69"/>
  <c r="S79" i="69" s="1"/>
  <c r="AL26" i="11" a="1"/>
  <c r="AL26" i="11" s="1"/>
  <c r="E27" i="32" s="1"/>
  <c r="AP36" i="59" a="1"/>
  <c r="AP36" i="59" s="1"/>
  <c r="E37" i="50" s="1"/>
  <c r="Y79" i="69" l="1"/>
  <c r="AG79" i="69" s="1"/>
  <c r="X94" i="57"/>
  <c r="AF94" i="57" s="1"/>
  <c r="AG96" i="57"/>
  <c r="M97" i="53"/>
  <c r="AC97" i="53" s="1"/>
  <c r="O97" i="53"/>
  <c r="AP81" i="69"/>
  <c r="N81" i="69"/>
  <c r="U81" i="69" s="1"/>
  <c r="AF93" i="57"/>
  <c r="AA93" i="57"/>
  <c r="AD95" i="57"/>
  <c r="Q95" i="57"/>
  <c r="T95" i="57" s="1"/>
  <c r="AJ95" i="57"/>
  <c r="AE95" i="57"/>
  <c r="R95" i="57"/>
  <c r="AC95" i="57"/>
  <c r="AQ95" i="57"/>
  <c r="M96" i="57"/>
  <c r="AK96" i="57" s="1"/>
  <c r="Q36" i="50"/>
  <c r="P36" i="50" s="1"/>
  <c r="N97" i="53"/>
  <c r="T27" i="32"/>
  <c r="O27" i="32"/>
  <c r="O37" i="50"/>
  <c r="T37" i="50"/>
  <c r="AA95" i="53"/>
  <c r="AB95" i="53"/>
  <c r="AK33" i="50"/>
  <c r="AL33" i="50" s="1"/>
  <c r="AG33" i="50"/>
  <c r="AH33" i="50" s="1"/>
  <c r="AI33" i="50" s="1"/>
  <c r="AK32" i="50"/>
  <c r="AL32" i="50" s="1"/>
  <c r="AG32" i="50"/>
  <c r="AH32" i="50" s="1"/>
  <c r="AI32" i="50" s="1"/>
  <c r="AJ35" i="50"/>
  <c r="C35" i="50"/>
  <c r="S36" i="50"/>
  <c r="Z36" i="50" s="1"/>
  <c r="W35" i="50"/>
  <c r="X34" i="50"/>
  <c r="AD34" i="50" s="1"/>
  <c r="V35" i="50"/>
  <c r="AF80" i="69"/>
  <c r="Q80" i="69"/>
  <c r="O97" i="57"/>
  <c r="P97" i="57"/>
  <c r="AM33" i="50"/>
  <c r="AC78" i="69"/>
  <c r="AD78" i="69" s="1"/>
  <c r="O82" i="69"/>
  <c r="AO81" i="69"/>
  <c r="AF95" i="53"/>
  <c r="AE96" i="53"/>
  <c r="AK27" i="32"/>
  <c r="R96" i="53"/>
  <c r="X96" i="53" s="1"/>
  <c r="AY80" i="69"/>
  <c r="L97" i="57"/>
  <c r="AG96" i="53"/>
  <c r="AH96" i="53"/>
  <c r="AT96" i="53"/>
  <c r="N97" i="57"/>
  <c r="J97" i="53"/>
  <c r="AH80" i="69"/>
  <c r="AD96" i="53"/>
  <c r="Q96" i="53"/>
  <c r="C97" i="53"/>
  <c r="E97" i="53"/>
  <c r="P97" i="53"/>
  <c r="G97" i="53"/>
  <c r="K97" i="53"/>
  <c r="F97" i="53"/>
  <c r="L97" i="53"/>
  <c r="H97" i="53"/>
  <c r="AK96" i="52" a="1"/>
  <c r="AK96" i="52" s="1"/>
  <c r="B98" i="53" s="1"/>
  <c r="I97" i="53"/>
  <c r="D97" i="53"/>
  <c r="B37" i="50"/>
  <c r="R37" i="50" s="1"/>
  <c r="K37" i="50"/>
  <c r="M37" i="50"/>
  <c r="I37" i="50"/>
  <c r="A37" i="50"/>
  <c r="H37" i="50"/>
  <c r="G37" i="50"/>
  <c r="F37" i="50"/>
  <c r="U37" i="50" s="1"/>
  <c r="N37" i="50"/>
  <c r="J37" i="50"/>
  <c r="L37" i="50"/>
  <c r="H97" i="57"/>
  <c r="G97" i="57"/>
  <c r="E97" i="57"/>
  <c r="D97" i="57"/>
  <c r="C97" i="57"/>
  <c r="I97" i="57"/>
  <c r="K97" i="57"/>
  <c r="F97" i="57"/>
  <c r="J97" i="57"/>
  <c r="AN96" i="55" a="1"/>
  <c r="AN96" i="55" s="1"/>
  <c r="B98" i="57" s="1"/>
  <c r="AE80" i="69"/>
  <c r="R80" i="69"/>
  <c r="S80" i="69" s="1"/>
  <c r="Y80" i="69" s="1"/>
  <c r="D81" i="69"/>
  <c r="E81" i="69" s="1"/>
  <c r="F81" i="69" s="1"/>
  <c r="G81" i="69" s="1"/>
  <c r="H81" i="69" s="1"/>
  <c r="I81" i="69" s="1"/>
  <c r="J81" i="69" s="1"/>
  <c r="K81" i="69" s="1"/>
  <c r="M81" i="69" s="1"/>
  <c r="C82" i="69"/>
  <c r="P82" i="69" s="1"/>
  <c r="AR82" i="67" a="1"/>
  <c r="AR82" i="67" s="1"/>
  <c r="B83" i="69"/>
  <c r="L83" i="69" s="1"/>
  <c r="AL27" i="11" a="1"/>
  <c r="AL27" i="11" s="1"/>
  <c r="E28" i="32" s="1"/>
  <c r="AP37" i="59" a="1"/>
  <c r="AP37" i="59" s="1"/>
  <c r="E38" i="50" s="1"/>
  <c r="AB79" i="69" l="1"/>
  <c r="AC79" i="69" s="1"/>
  <c r="AD79" i="69" s="1"/>
  <c r="AB80" i="69"/>
  <c r="AC80" i="69" s="1"/>
  <c r="AD80" i="69" s="1"/>
  <c r="X95" i="57"/>
  <c r="AB95" i="57" s="1"/>
  <c r="AG97" i="57"/>
  <c r="Q96" i="57"/>
  <c r="T96" i="57" s="1"/>
  <c r="M98" i="53"/>
  <c r="AC98" i="53" s="1"/>
  <c r="O98" i="53"/>
  <c r="AP82" i="69"/>
  <c r="N82" i="69"/>
  <c r="U82" i="69" s="1"/>
  <c r="AD96" i="57"/>
  <c r="AJ96" i="57"/>
  <c r="R96" i="57"/>
  <c r="AB94" i="57"/>
  <c r="AQ96" i="57"/>
  <c r="AA94" i="57"/>
  <c r="AE96" i="57"/>
  <c r="AC96" i="57"/>
  <c r="M97" i="57"/>
  <c r="AK97" i="57" s="1"/>
  <c r="Q37" i="50"/>
  <c r="P37" i="50" s="1"/>
  <c r="N98" i="53"/>
  <c r="O28" i="32"/>
  <c r="T28" i="32"/>
  <c r="T38" i="50"/>
  <c r="O38" i="50"/>
  <c r="AA96" i="53"/>
  <c r="AB96" i="53"/>
  <c r="AP33" i="50"/>
  <c r="AP32" i="50"/>
  <c r="AK34" i="50"/>
  <c r="AL34" i="50" s="1"/>
  <c r="AG34" i="50"/>
  <c r="AH34" i="50" s="1"/>
  <c r="AI34" i="50" s="1"/>
  <c r="C36" i="50"/>
  <c r="S37" i="50"/>
  <c r="Z37" i="50" s="1"/>
  <c r="AJ36" i="50"/>
  <c r="W36" i="50"/>
  <c r="X35" i="50"/>
  <c r="AD35" i="50" s="1"/>
  <c r="V36" i="50"/>
  <c r="AF81" i="69"/>
  <c r="Q81" i="69"/>
  <c r="O98" i="57"/>
  <c r="P98" i="57"/>
  <c r="AM34" i="50"/>
  <c r="O83" i="69"/>
  <c r="AO82" i="69"/>
  <c r="AG80" i="69"/>
  <c r="AE97" i="53"/>
  <c r="AF96" i="53"/>
  <c r="AK28" i="32"/>
  <c r="R97" i="53"/>
  <c r="X97" i="53" s="1"/>
  <c r="AY81" i="69"/>
  <c r="L98" i="57"/>
  <c r="AG97" i="53"/>
  <c r="AH97" i="53"/>
  <c r="AT97" i="53"/>
  <c r="N98" i="57"/>
  <c r="G98" i="53"/>
  <c r="AH81" i="69"/>
  <c r="AD97" i="53"/>
  <c r="Q97" i="53"/>
  <c r="J98" i="53"/>
  <c r="E98" i="53"/>
  <c r="I98" i="53"/>
  <c r="AK97" i="52" a="1"/>
  <c r="AK97" i="52" s="1"/>
  <c r="B99" i="53" s="1"/>
  <c r="K98" i="53"/>
  <c r="P98" i="53"/>
  <c r="F98" i="53"/>
  <c r="L98" i="53"/>
  <c r="H98" i="53"/>
  <c r="C98" i="53"/>
  <c r="D98" i="53"/>
  <c r="G38" i="50"/>
  <c r="F38" i="50"/>
  <c r="U38" i="50" s="1"/>
  <c r="M38" i="50"/>
  <c r="L38" i="50"/>
  <c r="K38" i="50"/>
  <c r="H38" i="50"/>
  <c r="B38" i="50"/>
  <c r="R38" i="50" s="1"/>
  <c r="N38" i="50"/>
  <c r="A38" i="50"/>
  <c r="J38" i="50"/>
  <c r="I38" i="50"/>
  <c r="J98" i="57"/>
  <c r="E98" i="57"/>
  <c r="H98" i="57"/>
  <c r="G98" i="57"/>
  <c r="D98" i="57"/>
  <c r="K98" i="57"/>
  <c r="F98" i="57"/>
  <c r="I98" i="57"/>
  <c r="C98" i="57"/>
  <c r="AN97" i="55" a="1"/>
  <c r="AN97" i="55" s="1"/>
  <c r="B99" i="57" s="1"/>
  <c r="D82" i="69"/>
  <c r="E82" i="69" s="1"/>
  <c r="F82" i="69" s="1"/>
  <c r="G82" i="69" s="1"/>
  <c r="H82" i="69" s="1"/>
  <c r="I82" i="69" s="1"/>
  <c r="J82" i="69" s="1"/>
  <c r="K82" i="69" s="1"/>
  <c r="M82" i="69" s="1"/>
  <c r="R81" i="69"/>
  <c r="S81" i="69" s="1"/>
  <c r="Y81" i="69" s="1"/>
  <c r="AE81" i="69"/>
  <c r="C83" i="69"/>
  <c r="P83" i="69" s="1"/>
  <c r="AR83" i="67" a="1"/>
  <c r="AR83" i="67" s="1"/>
  <c r="B84" i="69"/>
  <c r="L84" i="69" s="1"/>
  <c r="AL28" i="11" a="1"/>
  <c r="AL28" i="11" s="1"/>
  <c r="E29" i="32" s="1"/>
  <c r="AP38" i="59" a="1"/>
  <c r="AP38" i="59" s="1"/>
  <c r="E39" i="50" s="1"/>
  <c r="X96" i="57" l="1"/>
  <c r="AA96" i="57" s="1"/>
  <c r="AG98" i="57"/>
  <c r="AF95" i="57"/>
  <c r="AA95" i="57"/>
  <c r="AE97" i="57"/>
  <c r="M99" i="53"/>
  <c r="AC99" i="53" s="1"/>
  <c r="O99" i="53"/>
  <c r="AP83" i="69"/>
  <c r="N83" i="69"/>
  <c r="U83" i="69" s="1"/>
  <c r="Q97" i="57"/>
  <c r="T97" i="57" s="1"/>
  <c r="AQ97" i="57"/>
  <c r="AD97" i="57"/>
  <c r="AJ97" i="57"/>
  <c r="R97" i="57"/>
  <c r="AC97" i="57"/>
  <c r="M98" i="57"/>
  <c r="AK98" i="57" s="1"/>
  <c r="Q38" i="50"/>
  <c r="P38" i="50" s="1"/>
  <c r="N99" i="53"/>
  <c r="O29" i="32"/>
  <c r="T29" i="32"/>
  <c r="T39" i="50"/>
  <c r="O39" i="50"/>
  <c r="AA97" i="53"/>
  <c r="AB97" i="53"/>
  <c r="AP34" i="50"/>
  <c r="AK35" i="50"/>
  <c r="AL35" i="50" s="1"/>
  <c r="AG35" i="50"/>
  <c r="AH35" i="50" s="1"/>
  <c r="AI35" i="50" s="1"/>
  <c r="AJ37" i="50"/>
  <c r="C37" i="50"/>
  <c r="S38" i="50"/>
  <c r="Z38" i="50" s="1"/>
  <c r="W37" i="50"/>
  <c r="X36" i="50"/>
  <c r="AD36" i="50" s="1"/>
  <c r="V37" i="50"/>
  <c r="AF82" i="69"/>
  <c r="Q82" i="69"/>
  <c r="O99" i="57"/>
  <c r="P99" i="57"/>
  <c r="AM35" i="50"/>
  <c r="AB81" i="69"/>
  <c r="AG81" i="69"/>
  <c r="AO83" i="69"/>
  <c r="O84" i="69"/>
  <c r="AF97" i="53"/>
  <c r="AE98" i="53"/>
  <c r="AK29" i="32"/>
  <c r="R98" i="53"/>
  <c r="X98" i="53" s="1"/>
  <c r="AY82" i="69"/>
  <c r="L99" i="57"/>
  <c r="AH98" i="53"/>
  <c r="AT98" i="53"/>
  <c r="AG98" i="53"/>
  <c r="N99" i="57"/>
  <c r="L99" i="53"/>
  <c r="AH82" i="69"/>
  <c r="Q98" i="53"/>
  <c r="AD98" i="53"/>
  <c r="G99" i="53"/>
  <c r="C99" i="53"/>
  <c r="P99" i="53"/>
  <c r="I99" i="53"/>
  <c r="D99" i="53"/>
  <c r="J99" i="53"/>
  <c r="F99" i="53"/>
  <c r="H99" i="53"/>
  <c r="AK98" i="52" a="1"/>
  <c r="AK98" i="52" s="1"/>
  <c r="B100" i="53" s="1"/>
  <c r="K99" i="53"/>
  <c r="E99" i="53"/>
  <c r="J39" i="50"/>
  <c r="M39" i="50"/>
  <c r="F39" i="50"/>
  <c r="U39" i="50" s="1"/>
  <c r="N39" i="50"/>
  <c r="G39" i="50"/>
  <c r="K39" i="50"/>
  <c r="I39" i="50"/>
  <c r="A39" i="50"/>
  <c r="L39" i="50"/>
  <c r="H39" i="50"/>
  <c r="B39" i="50"/>
  <c r="R39" i="50" s="1"/>
  <c r="E99" i="57"/>
  <c r="D99" i="57"/>
  <c r="C99" i="57"/>
  <c r="K99" i="57"/>
  <c r="G99" i="57"/>
  <c r="I99" i="57"/>
  <c r="H99" i="57"/>
  <c r="F99" i="57"/>
  <c r="J99" i="57"/>
  <c r="AN98" i="55" a="1"/>
  <c r="AN98" i="55" s="1"/>
  <c r="B100" i="57" s="1"/>
  <c r="AR84" i="67" a="1"/>
  <c r="AR84" i="67" s="1"/>
  <c r="B85" i="69"/>
  <c r="L85" i="69" s="1"/>
  <c r="AE82" i="69"/>
  <c r="R82" i="69"/>
  <c r="S82" i="69" s="1"/>
  <c r="Y82" i="69" s="1"/>
  <c r="C84" i="69"/>
  <c r="P84" i="69" s="1"/>
  <c r="D83" i="69"/>
  <c r="E83" i="69" s="1"/>
  <c r="F83" i="69" s="1"/>
  <c r="G83" i="69" s="1"/>
  <c r="H83" i="69" s="1"/>
  <c r="I83" i="69" s="1"/>
  <c r="J83" i="69" s="1"/>
  <c r="K83" i="69" s="1"/>
  <c r="M83" i="69" s="1"/>
  <c r="AL29" i="11" a="1"/>
  <c r="AL29" i="11" s="1"/>
  <c r="E30" i="32" s="1"/>
  <c r="AP39" i="59" a="1"/>
  <c r="AP39" i="59" s="1"/>
  <c r="E40" i="50" s="1"/>
  <c r="AG99" i="57" l="1"/>
  <c r="X97" i="57"/>
  <c r="AF97" i="57" s="1"/>
  <c r="AF96" i="57"/>
  <c r="AB96" i="57"/>
  <c r="AQ98" i="57"/>
  <c r="AC98" i="57"/>
  <c r="AE98" i="57"/>
  <c r="M100" i="53"/>
  <c r="AC100" i="53" s="1"/>
  <c r="O100" i="53"/>
  <c r="AP84" i="69"/>
  <c r="N84" i="69"/>
  <c r="U84" i="69" s="1"/>
  <c r="Q98" i="57"/>
  <c r="T98" i="57" s="1"/>
  <c r="AD98" i="57"/>
  <c r="AJ98" i="57"/>
  <c r="R98" i="57"/>
  <c r="M99" i="57"/>
  <c r="AK99" i="57" s="1"/>
  <c r="Q39" i="50"/>
  <c r="P39" i="50" s="1"/>
  <c r="N100" i="53"/>
  <c r="T30" i="32"/>
  <c r="O30" i="32"/>
  <c r="O40" i="50"/>
  <c r="T40" i="50"/>
  <c r="AA98" i="53"/>
  <c r="AB98" i="53"/>
  <c r="AP35" i="50"/>
  <c r="AK36" i="50"/>
  <c r="AL36" i="50" s="1"/>
  <c r="AG36" i="50"/>
  <c r="AH36" i="50" s="1"/>
  <c r="AI36" i="50" s="1"/>
  <c r="AJ38" i="50"/>
  <c r="C38" i="50"/>
  <c r="S39" i="50"/>
  <c r="Z39" i="50" s="1"/>
  <c r="W38" i="50"/>
  <c r="X37" i="50"/>
  <c r="V38" i="50"/>
  <c r="AF83" i="69"/>
  <c r="Q83" i="69"/>
  <c r="O100" i="57"/>
  <c r="P100" i="57"/>
  <c r="AD37" i="50"/>
  <c r="AM36" i="50"/>
  <c r="AC81" i="69"/>
  <c r="AD81" i="69" s="1"/>
  <c r="AB82" i="69"/>
  <c r="AG82" i="69"/>
  <c r="O85" i="69"/>
  <c r="AO84" i="69"/>
  <c r="AE99" i="53"/>
  <c r="AF98" i="53"/>
  <c r="AK30" i="32"/>
  <c r="R99" i="53"/>
  <c r="X99" i="53" s="1"/>
  <c r="AY83" i="69"/>
  <c r="L100" i="57"/>
  <c r="AH99" i="53"/>
  <c r="AT99" i="53"/>
  <c r="AG99" i="53"/>
  <c r="N100" i="57"/>
  <c r="K100" i="53"/>
  <c r="AH83" i="69"/>
  <c r="Q99" i="53"/>
  <c r="AD99" i="53"/>
  <c r="L100" i="53"/>
  <c r="D100" i="53"/>
  <c r="G100" i="53"/>
  <c r="P100" i="53"/>
  <c r="F100" i="53"/>
  <c r="E100" i="53"/>
  <c r="J100" i="53"/>
  <c r="C100" i="53"/>
  <c r="I100" i="53"/>
  <c r="AK99" i="52" a="1"/>
  <c r="AK99" i="52" s="1"/>
  <c r="B101" i="53" s="1"/>
  <c r="H100" i="53"/>
  <c r="N40" i="50"/>
  <c r="I40" i="50"/>
  <c r="J40" i="50"/>
  <c r="G40" i="50"/>
  <c r="B40" i="50"/>
  <c r="R40" i="50" s="1"/>
  <c r="A40" i="50"/>
  <c r="H40" i="50"/>
  <c r="M40" i="50"/>
  <c r="K40" i="50"/>
  <c r="F40" i="50"/>
  <c r="U40" i="50" s="1"/>
  <c r="L40" i="50"/>
  <c r="I100" i="57"/>
  <c r="F100" i="57"/>
  <c r="C100" i="57"/>
  <c r="K100" i="57"/>
  <c r="H100" i="57"/>
  <c r="D100" i="57"/>
  <c r="G100" i="57"/>
  <c r="E100" i="57"/>
  <c r="J100" i="57"/>
  <c r="AN99" i="55" a="1"/>
  <c r="AN99" i="55" s="1"/>
  <c r="B101" i="57" s="1"/>
  <c r="R83" i="69"/>
  <c r="S83" i="69" s="1"/>
  <c r="Y83" i="69" s="1"/>
  <c r="AE83" i="69"/>
  <c r="D84" i="69"/>
  <c r="E84" i="69" s="1"/>
  <c r="F84" i="69" s="1"/>
  <c r="G84" i="69" s="1"/>
  <c r="H84" i="69" s="1"/>
  <c r="I84" i="69" s="1"/>
  <c r="J84" i="69" s="1"/>
  <c r="K84" i="69" s="1"/>
  <c r="M84" i="69" s="1"/>
  <c r="C85" i="69"/>
  <c r="P85" i="69" s="1"/>
  <c r="AR85" i="67" a="1"/>
  <c r="AR85" i="67" s="1"/>
  <c r="B86" i="69"/>
  <c r="L86" i="69" s="1"/>
  <c r="AL30" i="11" a="1"/>
  <c r="AL30" i="11" s="1"/>
  <c r="E31" i="32" s="1"/>
  <c r="AP40" i="59" a="1"/>
  <c r="AP40" i="59" s="1"/>
  <c r="E41" i="50" s="1"/>
  <c r="X98" i="57" l="1"/>
  <c r="AB98" i="57" s="1"/>
  <c r="AB83" i="69"/>
  <c r="AC83" i="69" s="1"/>
  <c r="AD83" i="69" s="1"/>
  <c r="AG100" i="57"/>
  <c r="AB97" i="57"/>
  <c r="AA97" i="57"/>
  <c r="M101" i="53"/>
  <c r="AC101" i="53" s="1"/>
  <c r="O101" i="53"/>
  <c r="AP85" i="69"/>
  <c r="N85" i="69"/>
  <c r="U85" i="69" s="1"/>
  <c r="AJ99" i="57"/>
  <c r="R99" i="57"/>
  <c r="AD99" i="57"/>
  <c r="AC99" i="57"/>
  <c r="Q99" i="57"/>
  <c r="T99" i="57" s="1"/>
  <c r="AE99" i="57"/>
  <c r="AQ99" i="57"/>
  <c r="M100" i="57"/>
  <c r="AK100" i="57" s="1"/>
  <c r="Q40" i="50"/>
  <c r="P40" i="50" s="1"/>
  <c r="N101" i="53"/>
  <c r="T31" i="32"/>
  <c r="O31" i="32"/>
  <c r="O41" i="50"/>
  <c r="T41" i="50"/>
  <c r="AA99" i="53"/>
  <c r="AB99" i="53"/>
  <c r="AP36" i="50"/>
  <c r="AJ39" i="50"/>
  <c r="C39" i="50"/>
  <c r="S40" i="50"/>
  <c r="Z40" i="50" s="1"/>
  <c r="W39" i="50"/>
  <c r="X38" i="50"/>
  <c r="AD38" i="50" s="1"/>
  <c r="V39" i="50"/>
  <c r="AF84" i="69"/>
  <c r="Q84" i="69"/>
  <c r="O101" i="57"/>
  <c r="P101" i="57"/>
  <c r="AC82" i="69"/>
  <c r="AD82" i="69" s="1"/>
  <c r="O86" i="69"/>
  <c r="AG83" i="69"/>
  <c r="AO85" i="69"/>
  <c r="AE100" i="53"/>
  <c r="AF99" i="53"/>
  <c r="AK31" i="32"/>
  <c r="R100" i="53"/>
  <c r="X100" i="53" s="1"/>
  <c r="AY84" i="69"/>
  <c r="L101" i="57"/>
  <c r="AH100" i="53"/>
  <c r="AT100" i="53"/>
  <c r="AG100" i="53"/>
  <c r="N101" i="57"/>
  <c r="AH84" i="69"/>
  <c r="AD100" i="53"/>
  <c r="Q100" i="53"/>
  <c r="K101" i="53"/>
  <c r="L101" i="53"/>
  <c r="C101" i="53"/>
  <c r="P101" i="53"/>
  <c r="AK100" i="52" a="1"/>
  <c r="AK100" i="52" s="1"/>
  <c r="B102" i="53" s="1"/>
  <c r="I101" i="53"/>
  <c r="F101" i="53"/>
  <c r="E101" i="53"/>
  <c r="D101" i="53"/>
  <c r="J101" i="53"/>
  <c r="G101" i="53"/>
  <c r="H101" i="53"/>
  <c r="M41" i="50"/>
  <c r="K41" i="50"/>
  <c r="H41" i="50"/>
  <c r="N41" i="50"/>
  <c r="I41" i="50"/>
  <c r="A41" i="50"/>
  <c r="B41" i="50"/>
  <c r="R41" i="50" s="1"/>
  <c r="L41" i="50"/>
  <c r="G41" i="50"/>
  <c r="J41" i="50"/>
  <c r="F41" i="50"/>
  <c r="U41" i="50" s="1"/>
  <c r="K101" i="57"/>
  <c r="I101" i="57"/>
  <c r="H101" i="57"/>
  <c r="G101" i="57"/>
  <c r="E101" i="57"/>
  <c r="D101" i="57"/>
  <c r="C101" i="57"/>
  <c r="F101" i="57"/>
  <c r="J101" i="57"/>
  <c r="AN100" i="55" a="1"/>
  <c r="AN100" i="55" s="1"/>
  <c r="B102" i="57" s="1"/>
  <c r="AR86" i="67" a="1"/>
  <c r="AR86" i="67" s="1"/>
  <c r="B87" i="69"/>
  <c r="L87" i="69" s="1"/>
  <c r="D85" i="69"/>
  <c r="E85" i="69" s="1"/>
  <c r="F85" i="69" s="1"/>
  <c r="G85" i="69" s="1"/>
  <c r="H85" i="69" s="1"/>
  <c r="I85" i="69" s="1"/>
  <c r="J85" i="69" s="1"/>
  <c r="K85" i="69" s="1"/>
  <c r="M85" i="69" s="1"/>
  <c r="C86" i="69"/>
  <c r="P86" i="69" s="1"/>
  <c r="AE84" i="69"/>
  <c r="R84" i="69"/>
  <c r="S84" i="69" s="1"/>
  <c r="Y84" i="69" s="1"/>
  <c r="AL31" i="11" a="1"/>
  <c r="AL31" i="11" s="1"/>
  <c r="E32" i="32" s="1"/>
  <c r="AP41" i="59" a="1"/>
  <c r="AP41" i="59" s="1"/>
  <c r="E42" i="50" s="1"/>
  <c r="X99" i="57" l="1"/>
  <c r="AF99" i="57" s="1"/>
  <c r="AG101" i="57"/>
  <c r="AF98" i="57"/>
  <c r="AA98" i="57"/>
  <c r="M102" i="53"/>
  <c r="AC102" i="53" s="1"/>
  <c r="O102" i="53"/>
  <c r="AP86" i="69"/>
  <c r="N86" i="69"/>
  <c r="U86" i="69" s="1"/>
  <c r="AD100" i="57"/>
  <c r="AQ100" i="57"/>
  <c r="AE100" i="57"/>
  <c r="Q100" i="57"/>
  <c r="T100" i="57" s="1"/>
  <c r="AC100" i="57"/>
  <c r="AJ100" i="57"/>
  <c r="R100" i="57"/>
  <c r="M101" i="57"/>
  <c r="AK101" i="57" s="1"/>
  <c r="Q41" i="50"/>
  <c r="P41" i="50" s="1"/>
  <c r="N102" i="53"/>
  <c r="O32" i="32"/>
  <c r="T32" i="32"/>
  <c r="T42" i="50"/>
  <c r="O42" i="50"/>
  <c r="AA100" i="53"/>
  <c r="AB100" i="53"/>
  <c r="AK37" i="50"/>
  <c r="AL37" i="50" s="1"/>
  <c r="AG37" i="50"/>
  <c r="AH37" i="50" s="1"/>
  <c r="AI37" i="50" s="1"/>
  <c r="AK38" i="50"/>
  <c r="AL38" i="50" s="1"/>
  <c r="AG38" i="50"/>
  <c r="AH38" i="50" s="1"/>
  <c r="AI38" i="50" s="1"/>
  <c r="C40" i="50"/>
  <c r="AJ40" i="50"/>
  <c r="S41" i="50"/>
  <c r="Z41" i="50" s="1"/>
  <c r="W40" i="50"/>
  <c r="X39" i="50"/>
  <c r="AD39" i="50" s="1"/>
  <c r="V40" i="50"/>
  <c r="AF85" i="69"/>
  <c r="Q85" i="69"/>
  <c r="O102" i="57"/>
  <c r="P102" i="57"/>
  <c r="AM37" i="50"/>
  <c r="AM38" i="50"/>
  <c r="AB84" i="69"/>
  <c r="AG84" i="69"/>
  <c r="O87" i="69"/>
  <c r="AO86" i="69"/>
  <c r="AE101" i="53"/>
  <c r="AF100" i="53"/>
  <c r="AK32" i="32"/>
  <c r="R101" i="53"/>
  <c r="X101" i="53" s="1"/>
  <c r="AY85" i="69"/>
  <c r="L102" i="57"/>
  <c r="AH101" i="53"/>
  <c r="AT101" i="53"/>
  <c r="AG101" i="53"/>
  <c r="N102" i="57"/>
  <c r="AH85" i="69"/>
  <c r="AD101" i="53"/>
  <c r="Q101" i="53"/>
  <c r="G102" i="53"/>
  <c r="I102" i="53"/>
  <c r="C102" i="53"/>
  <c r="H102" i="53"/>
  <c r="J102" i="53"/>
  <c r="E102" i="53"/>
  <c r="K102" i="53"/>
  <c r="D102" i="53"/>
  <c r="AK101" i="52" a="1"/>
  <c r="AK101" i="52" s="1"/>
  <c r="B103" i="53" s="1"/>
  <c r="F102" i="53"/>
  <c r="P102" i="53"/>
  <c r="L102" i="53"/>
  <c r="A42" i="50"/>
  <c r="M42" i="50"/>
  <c r="B42" i="50"/>
  <c r="R42" i="50" s="1"/>
  <c r="L42" i="50"/>
  <c r="K42" i="50"/>
  <c r="I42" i="50"/>
  <c r="F42" i="50"/>
  <c r="U42" i="50" s="1"/>
  <c r="H42" i="50"/>
  <c r="N42" i="50"/>
  <c r="J42" i="50"/>
  <c r="G42" i="50"/>
  <c r="I102" i="57"/>
  <c r="C102" i="57"/>
  <c r="E102" i="57"/>
  <c r="K102" i="57"/>
  <c r="G102" i="57"/>
  <c r="F102" i="57"/>
  <c r="H102" i="57"/>
  <c r="J102" i="57"/>
  <c r="D102" i="57"/>
  <c r="AN101" i="55" a="1"/>
  <c r="AN101" i="55" s="1"/>
  <c r="B103" i="57" s="1"/>
  <c r="AR87" i="67" a="1"/>
  <c r="AR87" i="67" s="1"/>
  <c r="B88" i="69"/>
  <c r="L88" i="69" s="1"/>
  <c r="D86" i="69"/>
  <c r="E86" i="69" s="1"/>
  <c r="F86" i="69" s="1"/>
  <c r="G86" i="69" s="1"/>
  <c r="H86" i="69" s="1"/>
  <c r="I86" i="69" s="1"/>
  <c r="J86" i="69" s="1"/>
  <c r="K86" i="69" s="1"/>
  <c r="M86" i="69" s="1"/>
  <c r="AE85" i="69"/>
  <c r="R85" i="69"/>
  <c r="S85" i="69" s="1"/>
  <c r="Y85" i="69" s="1"/>
  <c r="C87" i="69"/>
  <c r="P87" i="69" s="1"/>
  <c r="AL32" i="11" a="1"/>
  <c r="AL32" i="11" s="1"/>
  <c r="E33" i="32" s="1"/>
  <c r="AP42" i="59" a="1"/>
  <c r="AP42" i="59" s="1"/>
  <c r="E43" i="50" s="1"/>
  <c r="X100" i="57" l="1"/>
  <c r="AB100" i="57" s="1"/>
  <c r="AG102" i="57"/>
  <c r="M103" i="53"/>
  <c r="AC103" i="53" s="1"/>
  <c r="O103" i="53"/>
  <c r="AP87" i="69"/>
  <c r="N87" i="69"/>
  <c r="U87" i="69" s="1"/>
  <c r="AB99" i="57"/>
  <c r="Q101" i="57"/>
  <c r="T101" i="57" s="1"/>
  <c r="AQ101" i="57"/>
  <c r="AE101" i="57"/>
  <c r="AA99" i="57"/>
  <c r="AJ101" i="57"/>
  <c r="R101" i="57"/>
  <c r="AD101" i="57"/>
  <c r="AC101" i="57"/>
  <c r="M102" i="57"/>
  <c r="AK102" i="57" s="1"/>
  <c r="Q42" i="50"/>
  <c r="P42" i="50" s="1"/>
  <c r="N103" i="53"/>
  <c r="O33" i="32"/>
  <c r="T33" i="32"/>
  <c r="T43" i="50"/>
  <c r="O43" i="50"/>
  <c r="AA101" i="53"/>
  <c r="AB101" i="53"/>
  <c r="AP38" i="50"/>
  <c r="AP37" i="50"/>
  <c r="AK39" i="50"/>
  <c r="AL39" i="50" s="1"/>
  <c r="AG39" i="50"/>
  <c r="AH39" i="50" s="1"/>
  <c r="AI39" i="50" s="1"/>
  <c r="AJ41" i="50"/>
  <c r="C41" i="50"/>
  <c r="S42" i="50"/>
  <c r="W41" i="50"/>
  <c r="X40" i="50"/>
  <c r="AD40" i="50" s="1"/>
  <c r="V41" i="50"/>
  <c r="AF86" i="69"/>
  <c r="Q86" i="69"/>
  <c r="O103" i="57"/>
  <c r="P103" i="57"/>
  <c r="AM39" i="50"/>
  <c r="AC84" i="69"/>
  <c r="AD84" i="69" s="1"/>
  <c r="AB85" i="69"/>
  <c r="AG85" i="69"/>
  <c r="O88" i="69"/>
  <c r="AO87" i="69"/>
  <c r="AF101" i="53"/>
  <c r="AE102" i="53"/>
  <c r="AK33" i="32"/>
  <c r="R102" i="53"/>
  <c r="X102" i="53" s="1"/>
  <c r="AY86" i="69"/>
  <c r="L103" i="57"/>
  <c r="AG102" i="53"/>
  <c r="AH102" i="53"/>
  <c r="AT102" i="53"/>
  <c r="N103" i="57"/>
  <c r="AH86" i="69"/>
  <c r="Q102" i="53"/>
  <c r="AD102" i="53"/>
  <c r="J103" i="53"/>
  <c r="E103" i="53"/>
  <c r="AK102" i="52" a="1"/>
  <c r="AK102" i="52" s="1"/>
  <c r="B104" i="53" s="1"/>
  <c r="F103" i="53"/>
  <c r="D103" i="53"/>
  <c r="G103" i="53"/>
  <c r="K103" i="53"/>
  <c r="C103" i="53"/>
  <c r="P103" i="53"/>
  <c r="H103" i="53"/>
  <c r="I103" i="53"/>
  <c r="L103" i="53"/>
  <c r="F43" i="50"/>
  <c r="U43" i="50" s="1"/>
  <c r="M43" i="50"/>
  <c r="K43" i="50"/>
  <c r="J43" i="50"/>
  <c r="A43" i="50"/>
  <c r="N43" i="50"/>
  <c r="L43" i="50"/>
  <c r="B43" i="50"/>
  <c r="R43" i="50" s="1"/>
  <c r="I43" i="50"/>
  <c r="H43" i="50"/>
  <c r="G43" i="50"/>
  <c r="K103" i="57"/>
  <c r="I103" i="57"/>
  <c r="H103" i="57"/>
  <c r="G103" i="57"/>
  <c r="C103" i="57"/>
  <c r="E103" i="57"/>
  <c r="D103" i="57"/>
  <c r="F103" i="57"/>
  <c r="J103" i="57"/>
  <c r="AN102" i="55" a="1"/>
  <c r="AN102" i="55" s="1"/>
  <c r="B104" i="57" s="1"/>
  <c r="AR88" i="67" a="1"/>
  <c r="AR88" i="67" s="1"/>
  <c r="B89" i="69"/>
  <c r="L89" i="69" s="1"/>
  <c r="D87" i="69"/>
  <c r="E87" i="69" s="1"/>
  <c r="F87" i="69" s="1"/>
  <c r="G87" i="69" s="1"/>
  <c r="H87" i="69" s="1"/>
  <c r="I87" i="69" s="1"/>
  <c r="J87" i="69" s="1"/>
  <c r="K87" i="69" s="1"/>
  <c r="M87" i="69" s="1"/>
  <c r="C88" i="69"/>
  <c r="P88" i="69" s="1"/>
  <c r="AE86" i="69"/>
  <c r="R86" i="69"/>
  <c r="S86" i="69" s="1"/>
  <c r="AL33" i="11" a="1"/>
  <c r="AL33" i="11" s="1"/>
  <c r="E34" i="32" s="1"/>
  <c r="AP43" i="59" a="1"/>
  <c r="AP43" i="59" s="1"/>
  <c r="E44" i="50" s="1"/>
  <c r="Y86" i="69" l="1"/>
  <c r="AB86" i="69" s="1"/>
  <c r="AC86" i="69" s="1"/>
  <c r="AD86" i="69" s="1"/>
  <c r="AG103" i="57"/>
  <c r="X101" i="57"/>
  <c r="AA101" i="57" s="1"/>
  <c r="M104" i="53"/>
  <c r="AC104" i="53" s="1"/>
  <c r="O104" i="53"/>
  <c r="AP88" i="69"/>
  <c r="N88" i="69"/>
  <c r="U88" i="69" s="1"/>
  <c r="AQ102" i="57"/>
  <c r="AA100" i="57"/>
  <c r="AF100" i="57"/>
  <c r="AJ102" i="57"/>
  <c r="R102" i="57"/>
  <c r="AD102" i="57"/>
  <c r="AC102" i="57"/>
  <c r="M103" i="57"/>
  <c r="AK103" i="57" s="1"/>
  <c r="Q102" i="57"/>
  <c r="T102" i="57" s="1"/>
  <c r="AE102" i="57"/>
  <c r="Q43" i="50"/>
  <c r="P43" i="50" s="1"/>
  <c r="N104" i="53"/>
  <c r="T34" i="32"/>
  <c r="O34" i="32"/>
  <c r="O44" i="50"/>
  <c r="T44" i="50"/>
  <c r="AA102" i="53"/>
  <c r="AB102" i="53"/>
  <c r="AP39" i="50"/>
  <c r="AK40" i="50"/>
  <c r="AL40" i="50" s="1"/>
  <c r="AG40" i="50"/>
  <c r="AH40" i="50" s="1"/>
  <c r="AI40" i="50" s="1"/>
  <c r="C42" i="50"/>
  <c r="Z42" i="50"/>
  <c r="S43" i="50"/>
  <c r="Z43" i="50" s="1"/>
  <c r="AJ42" i="50"/>
  <c r="W42" i="50"/>
  <c r="X41" i="50"/>
  <c r="AD41" i="50" s="1"/>
  <c r="V42" i="50"/>
  <c r="AF87" i="69"/>
  <c r="Q87" i="69"/>
  <c r="O104" i="57"/>
  <c r="P104" i="57"/>
  <c r="AM40" i="50"/>
  <c r="AC85" i="69"/>
  <c r="AD85" i="69" s="1"/>
  <c r="AO88" i="69"/>
  <c r="O89" i="69"/>
  <c r="AE103" i="53"/>
  <c r="AF102" i="53"/>
  <c r="AK34" i="32"/>
  <c r="R103" i="53"/>
  <c r="X103" i="53" s="1"/>
  <c r="AY87" i="69"/>
  <c r="L104" i="57"/>
  <c r="AG103" i="53"/>
  <c r="AH103" i="53"/>
  <c r="AT103" i="53"/>
  <c r="N104" i="57"/>
  <c r="I104" i="53"/>
  <c r="AH87" i="69"/>
  <c r="AD103" i="53"/>
  <c r="Q103" i="53"/>
  <c r="D104" i="53"/>
  <c r="L104" i="53"/>
  <c r="H104" i="53"/>
  <c r="G104" i="53"/>
  <c r="AK103" i="52" a="1"/>
  <c r="AK103" i="52" s="1"/>
  <c r="B105" i="53" s="1"/>
  <c r="P104" i="53"/>
  <c r="K104" i="53"/>
  <c r="J104" i="53"/>
  <c r="E104" i="53"/>
  <c r="F104" i="53"/>
  <c r="C104" i="53"/>
  <c r="H44" i="50"/>
  <c r="F44" i="50"/>
  <c r="U44" i="50" s="1"/>
  <c r="M44" i="50"/>
  <c r="K44" i="50"/>
  <c r="J44" i="50"/>
  <c r="N44" i="50"/>
  <c r="A44" i="50"/>
  <c r="L44" i="50"/>
  <c r="B44" i="50"/>
  <c r="R44" i="50" s="1"/>
  <c r="I44" i="50"/>
  <c r="G44" i="50"/>
  <c r="K104" i="57"/>
  <c r="J104" i="57"/>
  <c r="I104" i="57"/>
  <c r="C104" i="57"/>
  <c r="F104" i="57"/>
  <c r="E104" i="57"/>
  <c r="H104" i="57"/>
  <c r="D104" i="57"/>
  <c r="G104" i="57"/>
  <c r="AN103" i="55" a="1"/>
  <c r="AN103" i="55" s="1"/>
  <c r="B105" i="57" s="1"/>
  <c r="AE87" i="69"/>
  <c r="R87" i="69"/>
  <c r="S87" i="69" s="1"/>
  <c r="Y87" i="69" s="1"/>
  <c r="D88" i="69"/>
  <c r="E88" i="69" s="1"/>
  <c r="F88" i="69" s="1"/>
  <c r="G88" i="69" s="1"/>
  <c r="H88" i="69" s="1"/>
  <c r="I88" i="69" s="1"/>
  <c r="J88" i="69" s="1"/>
  <c r="K88" i="69" s="1"/>
  <c r="M88" i="69" s="1"/>
  <c r="C89" i="69"/>
  <c r="P89" i="69" s="1"/>
  <c r="AR89" i="67" a="1"/>
  <c r="AR89" i="67" s="1"/>
  <c r="B90" i="69"/>
  <c r="L90" i="69" s="1"/>
  <c r="AL34" i="11" a="1"/>
  <c r="AL34" i="11" s="1"/>
  <c r="E35" i="32" s="1"/>
  <c r="AP44" i="59" a="1"/>
  <c r="AP44" i="59" s="1"/>
  <c r="E45" i="50" s="1"/>
  <c r="X102" i="57" l="1"/>
  <c r="AB102" i="57" s="1"/>
  <c r="AG86" i="69"/>
  <c r="AG104" i="57"/>
  <c r="AF101" i="57"/>
  <c r="AB101" i="57"/>
  <c r="M105" i="53"/>
  <c r="AC105" i="53" s="1"/>
  <c r="O105" i="53"/>
  <c r="AP89" i="69"/>
  <c r="N89" i="69"/>
  <c r="U89" i="69" s="1"/>
  <c r="AJ103" i="57"/>
  <c r="R103" i="57"/>
  <c r="AD103" i="57"/>
  <c r="AC103" i="57"/>
  <c r="Q103" i="57"/>
  <c r="T103" i="57" s="1"/>
  <c r="AE103" i="57"/>
  <c r="AQ103" i="57"/>
  <c r="M104" i="57"/>
  <c r="AK104" i="57" s="1"/>
  <c r="Q44" i="50"/>
  <c r="P44" i="50" s="1"/>
  <c r="N105" i="53"/>
  <c r="T35" i="32"/>
  <c r="O35" i="32"/>
  <c r="O45" i="50"/>
  <c r="T45" i="50"/>
  <c r="AA103" i="53"/>
  <c r="AB103" i="53"/>
  <c r="AP40" i="50"/>
  <c r="AK41" i="50"/>
  <c r="AL41" i="50" s="1"/>
  <c r="AG41" i="50"/>
  <c r="AH41" i="50" s="1"/>
  <c r="AI41" i="50" s="1"/>
  <c r="AJ43" i="50"/>
  <c r="C43" i="50"/>
  <c r="S44" i="50"/>
  <c r="Z44" i="50" s="1"/>
  <c r="W43" i="50"/>
  <c r="X42" i="50"/>
  <c r="AD42" i="50" s="1"/>
  <c r="V43" i="50"/>
  <c r="AF88" i="69"/>
  <c r="Q88" i="69"/>
  <c r="O105" i="57"/>
  <c r="P105" i="57"/>
  <c r="AM41" i="50"/>
  <c r="AB87" i="69"/>
  <c r="AG87" i="69"/>
  <c r="AO89" i="69"/>
  <c r="O90" i="69"/>
  <c r="AE104" i="53"/>
  <c r="AF103" i="53"/>
  <c r="AK35" i="32"/>
  <c r="R104" i="53"/>
  <c r="X104" i="53" s="1"/>
  <c r="AY88" i="69"/>
  <c r="L105" i="57"/>
  <c r="AH104" i="53"/>
  <c r="AT104" i="53"/>
  <c r="AG104" i="53"/>
  <c r="N105" i="57"/>
  <c r="F105" i="53"/>
  <c r="AH88" i="69"/>
  <c r="AD104" i="53"/>
  <c r="D105" i="53"/>
  <c r="E105" i="53"/>
  <c r="C105" i="53"/>
  <c r="G105" i="53"/>
  <c r="AK104" i="52" a="1"/>
  <c r="AK104" i="52" s="1"/>
  <c r="B106" i="53" s="1"/>
  <c r="P105" i="53"/>
  <c r="I105" i="53"/>
  <c r="Q104" i="53"/>
  <c r="L105" i="53"/>
  <c r="H105" i="53"/>
  <c r="K105" i="53"/>
  <c r="J105" i="53"/>
  <c r="M45" i="50"/>
  <c r="B45" i="50"/>
  <c r="R45" i="50" s="1"/>
  <c r="I45" i="50"/>
  <c r="A45" i="50"/>
  <c r="H45" i="50"/>
  <c r="G45" i="50"/>
  <c r="K45" i="50"/>
  <c r="J45" i="50"/>
  <c r="F45" i="50"/>
  <c r="U45" i="50" s="1"/>
  <c r="N45" i="50"/>
  <c r="L45" i="50"/>
  <c r="D105" i="57"/>
  <c r="C105" i="57"/>
  <c r="K105" i="57"/>
  <c r="I105" i="57"/>
  <c r="E105" i="57"/>
  <c r="G105" i="57"/>
  <c r="H105" i="57"/>
  <c r="F105" i="57"/>
  <c r="J105" i="57"/>
  <c r="AN104" i="55" a="1"/>
  <c r="AN104" i="55" s="1"/>
  <c r="B106" i="57" s="1"/>
  <c r="AR90" i="67" a="1"/>
  <c r="AR90" i="67" s="1"/>
  <c r="B91" i="69"/>
  <c r="L91" i="69" s="1"/>
  <c r="AE88" i="69"/>
  <c r="R88" i="69"/>
  <c r="S88" i="69" s="1"/>
  <c r="Y88" i="69" s="1"/>
  <c r="C90" i="69"/>
  <c r="P90" i="69" s="1"/>
  <c r="D89" i="69"/>
  <c r="E89" i="69" s="1"/>
  <c r="F89" i="69" s="1"/>
  <c r="G89" i="69" s="1"/>
  <c r="H89" i="69" s="1"/>
  <c r="I89" i="69" s="1"/>
  <c r="J89" i="69" s="1"/>
  <c r="K89" i="69" s="1"/>
  <c r="M89" i="69" s="1"/>
  <c r="AL35" i="11" a="1"/>
  <c r="AL35" i="11" s="1"/>
  <c r="E36" i="32" s="1"/>
  <c r="AP45" i="59" a="1"/>
  <c r="AP45" i="59" s="1"/>
  <c r="E46" i="50" s="1"/>
  <c r="AF102" i="57" l="1"/>
  <c r="AA102" i="57"/>
  <c r="X103" i="57"/>
  <c r="AB103" i="57" s="1"/>
  <c r="AG105" i="57"/>
  <c r="M106" i="53"/>
  <c r="AC106" i="53" s="1"/>
  <c r="O106" i="53"/>
  <c r="AP90" i="69"/>
  <c r="N90" i="69"/>
  <c r="U90" i="69" s="1"/>
  <c r="Q104" i="57"/>
  <c r="T104" i="57" s="1"/>
  <c r="AD104" i="57"/>
  <c r="AC104" i="57"/>
  <c r="AQ104" i="57"/>
  <c r="AE104" i="57"/>
  <c r="AJ104" i="57"/>
  <c r="R104" i="57"/>
  <c r="M105" i="57"/>
  <c r="AK105" i="57" s="1"/>
  <c r="Q45" i="50"/>
  <c r="P45" i="50" s="1"/>
  <c r="N106" i="53"/>
  <c r="O36" i="32"/>
  <c r="T36" i="32"/>
  <c r="T46" i="50"/>
  <c r="O46" i="50"/>
  <c r="AA104" i="53"/>
  <c r="AB104" i="53"/>
  <c r="AP41" i="50"/>
  <c r="AK42" i="50"/>
  <c r="AL42" i="50" s="1"/>
  <c r="AG42" i="50"/>
  <c r="AH42" i="50" s="1"/>
  <c r="AI42" i="50" s="1"/>
  <c r="AJ44" i="50"/>
  <c r="C44" i="50"/>
  <c r="S45" i="50"/>
  <c r="Z45" i="50" s="1"/>
  <c r="W44" i="50"/>
  <c r="X43" i="50"/>
  <c r="V44" i="50"/>
  <c r="AF89" i="69"/>
  <c r="Q89" i="69"/>
  <c r="O106" i="57"/>
  <c r="P106" i="57"/>
  <c r="AD43" i="50"/>
  <c r="AM42" i="50"/>
  <c r="AC87" i="69"/>
  <c r="AD87" i="69" s="1"/>
  <c r="AB88" i="69"/>
  <c r="AG88" i="69"/>
  <c r="O91" i="69"/>
  <c r="AO90" i="69"/>
  <c r="AF104" i="53"/>
  <c r="AE105" i="53"/>
  <c r="AK36" i="32"/>
  <c r="R105" i="53"/>
  <c r="X105" i="53" s="1"/>
  <c r="AY89" i="69"/>
  <c r="L106" i="57"/>
  <c r="AH105" i="53"/>
  <c r="AT105" i="53"/>
  <c r="AG105" i="53"/>
  <c r="N106" i="57"/>
  <c r="AH89" i="69"/>
  <c r="AD105" i="53"/>
  <c r="Q105" i="53"/>
  <c r="K106" i="53"/>
  <c r="D106" i="53"/>
  <c r="G106" i="53"/>
  <c r="J106" i="53"/>
  <c r="L106" i="53"/>
  <c r="H106" i="53"/>
  <c r="AK105" i="52" a="1"/>
  <c r="AK105" i="52" s="1"/>
  <c r="B107" i="53" s="1"/>
  <c r="F106" i="53"/>
  <c r="E106" i="53"/>
  <c r="I106" i="53"/>
  <c r="C106" i="53"/>
  <c r="P106" i="53"/>
  <c r="G46" i="50"/>
  <c r="H46" i="50"/>
  <c r="N46" i="50"/>
  <c r="M46" i="50"/>
  <c r="F46" i="50"/>
  <c r="U46" i="50" s="1"/>
  <c r="L46" i="50"/>
  <c r="A46" i="50"/>
  <c r="J46" i="50"/>
  <c r="K46" i="50"/>
  <c r="B46" i="50"/>
  <c r="R46" i="50" s="1"/>
  <c r="I46" i="50"/>
  <c r="J106" i="57"/>
  <c r="G106" i="57"/>
  <c r="C106" i="57"/>
  <c r="H106" i="57"/>
  <c r="D106" i="57"/>
  <c r="K106" i="57"/>
  <c r="F106" i="57"/>
  <c r="E106" i="57"/>
  <c r="I106" i="57"/>
  <c r="AN105" i="55" a="1"/>
  <c r="AN105" i="55" s="1"/>
  <c r="B107" i="57" s="1"/>
  <c r="AR91" i="67" a="1"/>
  <c r="AR91" i="67" s="1"/>
  <c r="B92" i="69"/>
  <c r="L92" i="69" s="1"/>
  <c r="D90" i="69"/>
  <c r="E90" i="69" s="1"/>
  <c r="F90" i="69" s="1"/>
  <c r="G90" i="69" s="1"/>
  <c r="H90" i="69" s="1"/>
  <c r="I90" i="69" s="1"/>
  <c r="J90" i="69" s="1"/>
  <c r="K90" i="69" s="1"/>
  <c r="M90" i="69" s="1"/>
  <c r="AE89" i="69"/>
  <c r="R89" i="69"/>
  <c r="S89" i="69" s="1"/>
  <c r="Y89" i="69" s="1"/>
  <c r="C91" i="69"/>
  <c r="P91" i="69" s="1"/>
  <c r="AL36" i="11" a="1"/>
  <c r="AL36" i="11" s="1"/>
  <c r="E37" i="32" s="1"/>
  <c r="AP46" i="59" a="1"/>
  <c r="AP46" i="59" s="1"/>
  <c r="E47" i="50" s="1"/>
  <c r="X104" i="57" l="1"/>
  <c r="AB104" i="57" s="1"/>
  <c r="AG106" i="57"/>
  <c r="M107" i="53"/>
  <c r="AC107" i="53" s="1"/>
  <c r="O107" i="53"/>
  <c r="AP91" i="69"/>
  <c r="N91" i="69"/>
  <c r="U91" i="69" s="1"/>
  <c r="AQ105" i="57"/>
  <c r="AF103" i="57"/>
  <c r="AA103" i="57"/>
  <c r="Q105" i="57"/>
  <c r="T105" i="57" s="1"/>
  <c r="AD105" i="57"/>
  <c r="AJ105" i="57"/>
  <c r="R105" i="57"/>
  <c r="AE105" i="57"/>
  <c r="AC105" i="57"/>
  <c r="M106" i="57"/>
  <c r="AK106" i="57" s="1"/>
  <c r="Q46" i="50"/>
  <c r="P46" i="50" s="1"/>
  <c r="N107" i="53"/>
  <c r="O37" i="32"/>
  <c r="T37" i="32"/>
  <c r="T47" i="50"/>
  <c r="O47" i="50"/>
  <c r="AA105" i="53"/>
  <c r="AB105" i="53"/>
  <c r="AP42" i="50"/>
  <c r="C45" i="50"/>
  <c r="AJ45" i="50"/>
  <c r="S46" i="50"/>
  <c r="Z46" i="50" s="1"/>
  <c r="W45" i="50"/>
  <c r="X44" i="50"/>
  <c r="AD44" i="50" s="1"/>
  <c r="V45" i="50"/>
  <c r="AF90" i="69"/>
  <c r="Q90" i="69"/>
  <c r="O107" i="57"/>
  <c r="P107" i="57"/>
  <c r="AM43" i="50"/>
  <c r="AC88" i="69"/>
  <c r="AD88" i="69" s="1"/>
  <c r="AB89" i="69"/>
  <c r="AG89" i="69"/>
  <c r="O92" i="69"/>
  <c r="AO91" i="69"/>
  <c r="AE106" i="53"/>
  <c r="AF105" i="53"/>
  <c r="AK37" i="32"/>
  <c r="R106" i="53"/>
  <c r="X106" i="53" s="1"/>
  <c r="AY90" i="69"/>
  <c r="L107" i="57"/>
  <c r="AH106" i="53"/>
  <c r="AT106" i="53"/>
  <c r="AG106" i="53"/>
  <c r="N107" i="57"/>
  <c r="H107" i="53"/>
  <c r="AH90" i="69"/>
  <c r="AD106" i="53"/>
  <c r="Q106" i="53"/>
  <c r="C107" i="53"/>
  <c r="J107" i="53"/>
  <c r="AK106" i="52" a="1"/>
  <c r="AK106" i="52" s="1"/>
  <c r="B108" i="53" s="1"/>
  <c r="G107" i="53"/>
  <c r="E107" i="53"/>
  <c r="F107" i="53"/>
  <c r="I107" i="53"/>
  <c r="D107" i="53"/>
  <c r="L107" i="53"/>
  <c r="K107" i="53"/>
  <c r="P107" i="53"/>
  <c r="G47" i="50"/>
  <c r="I47" i="50"/>
  <c r="M47" i="50"/>
  <c r="J47" i="50"/>
  <c r="F47" i="50"/>
  <c r="U47" i="50" s="1"/>
  <c r="N47" i="50"/>
  <c r="L47" i="50"/>
  <c r="B47" i="50"/>
  <c r="R47" i="50" s="1"/>
  <c r="H47" i="50"/>
  <c r="A47" i="50"/>
  <c r="K47" i="50"/>
  <c r="E107" i="57"/>
  <c r="D107" i="57"/>
  <c r="C107" i="57"/>
  <c r="K107" i="57"/>
  <c r="G107" i="57"/>
  <c r="I107" i="57"/>
  <c r="H107" i="57"/>
  <c r="F107" i="57"/>
  <c r="J107" i="57"/>
  <c r="AN106" i="55" a="1"/>
  <c r="AN106" i="55" s="1"/>
  <c r="B108" i="57" s="1"/>
  <c r="AR92" i="67" a="1"/>
  <c r="AR92" i="67" s="1"/>
  <c r="B93" i="69"/>
  <c r="L93" i="69" s="1"/>
  <c r="C92" i="69"/>
  <c r="P92" i="69" s="1"/>
  <c r="D91" i="69"/>
  <c r="E91" i="69" s="1"/>
  <c r="F91" i="69" s="1"/>
  <c r="G91" i="69" s="1"/>
  <c r="H91" i="69" s="1"/>
  <c r="I91" i="69" s="1"/>
  <c r="J91" i="69" s="1"/>
  <c r="K91" i="69" s="1"/>
  <c r="M91" i="69" s="1"/>
  <c r="AE90" i="69"/>
  <c r="R90" i="69"/>
  <c r="S90" i="69" s="1"/>
  <c r="Y90" i="69" s="1"/>
  <c r="AL37" i="11" a="1"/>
  <c r="AL37" i="11" s="1"/>
  <c r="E38" i="32" s="1"/>
  <c r="AP47" i="59" a="1"/>
  <c r="AP47" i="59" s="1"/>
  <c r="E48" i="50" s="1"/>
  <c r="X105" i="57" l="1"/>
  <c r="AB105" i="57" s="1"/>
  <c r="AG107" i="57"/>
  <c r="AF104" i="57"/>
  <c r="AA104" i="57"/>
  <c r="M108" i="53"/>
  <c r="AC108" i="53" s="1"/>
  <c r="O108" i="53"/>
  <c r="AP92" i="69"/>
  <c r="N92" i="69"/>
  <c r="U92" i="69" s="1"/>
  <c r="Q106" i="57"/>
  <c r="T106" i="57" s="1"/>
  <c r="AQ106" i="57"/>
  <c r="AC106" i="57"/>
  <c r="AD106" i="57"/>
  <c r="AJ106" i="57"/>
  <c r="R106" i="57"/>
  <c r="AE106" i="57"/>
  <c r="M107" i="57"/>
  <c r="AK107" i="57" s="1"/>
  <c r="Q47" i="50"/>
  <c r="P47" i="50" s="1"/>
  <c r="N108" i="53"/>
  <c r="T38" i="32"/>
  <c r="O38" i="32"/>
  <c r="O48" i="50"/>
  <c r="T48" i="50"/>
  <c r="AA106" i="53"/>
  <c r="AB106" i="53"/>
  <c r="AK44" i="50"/>
  <c r="AL44" i="50" s="1"/>
  <c r="AG44" i="50"/>
  <c r="AH44" i="50" s="1"/>
  <c r="AI44" i="50" s="1"/>
  <c r="AK43" i="50"/>
  <c r="AL43" i="50" s="1"/>
  <c r="AG43" i="50"/>
  <c r="AH43" i="50" s="1"/>
  <c r="AI43" i="50" s="1"/>
  <c r="AJ46" i="50"/>
  <c r="C46" i="50"/>
  <c r="S47" i="50"/>
  <c r="Z47" i="50" s="1"/>
  <c r="W46" i="50"/>
  <c r="X45" i="50"/>
  <c r="AD45" i="50" s="1"/>
  <c r="V46" i="50"/>
  <c r="AF91" i="69"/>
  <c r="Q91" i="69"/>
  <c r="O108" i="57"/>
  <c r="P108" i="57"/>
  <c r="AM44" i="50"/>
  <c r="AC89" i="69"/>
  <c r="AD89" i="69" s="1"/>
  <c r="AB90" i="69"/>
  <c r="AG90" i="69"/>
  <c r="O93" i="69"/>
  <c r="AO92" i="69"/>
  <c r="AF106" i="53"/>
  <c r="AE107" i="53"/>
  <c r="AK38" i="32"/>
  <c r="R107" i="53"/>
  <c r="X107" i="53" s="1"/>
  <c r="AY91" i="69"/>
  <c r="L108" i="57"/>
  <c r="AG107" i="53"/>
  <c r="AH107" i="53"/>
  <c r="AT107" i="53"/>
  <c r="N108" i="57"/>
  <c r="E108" i="53"/>
  <c r="AH91" i="69"/>
  <c r="AD107" i="53"/>
  <c r="H108" i="53"/>
  <c r="P108" i="53"/>
  <c r="G108" i="53"/>
  <c r="Q107" i="53"/>
  <c r="J108" i="53"/>
  <c r="L108" i="53"/>
  <c r="F108" i="53"/>
  <c r="I108" i="53"/>
  <c r="C108" i="53"/>
  <c r="AK107" i="52" a="1"/>
  <c r="AK107" i="52" s="1"/>
  <c r="B109" i="53" s="1"/>
  <c r="D108" i="53"/>
  <c r="K108" i="53"/>
  <c r="B48" i="50"/>
  <c r="R48" i="50" s="1"/>
  <c r="F48" i="50"/>
  <c r="U48" i="50" s="1"/>
  <c r="H48" i="50"/>
  <c r="L48" i="50"/>
  <c r="I48" i="50"/>
  <c r="N48" i="50"/>
  <c r="M48" i="50"/>
  <c r="J48" i="50"/>
  <c r="K48" i="50"/>
  <c r="G48" i="50"/>
  <c r="A48" i="50"/>
  <c r="I108" i="57"/>
  <c r="F108" i="57"/>
  <c r="C108" i="57"/>
  <c r="K108" i="57"/>
  <c r="H108" i="57"/>
  <c r="D108" i="57"/>
  <c r="G108" i="57"/>
  <c r="E108" i="57"/>
  <c r="J108" i="57"/>
  <c r="AN107" i="55" a="1"/>
  <c r="AN107" i="55" s="1"/>
  <c r="B109" i="57" s="1"/>
  <c r="C93" i="69"/>
  <c r="P93" i="69" s="1"/>
  <c r="AE91" i="69"/>
  <c r="R91" i="69"/>
  <c r="S91" i="69" s="1"/>
  <c r="Y91" i="69" s="1"/>
  <c r="D92" i="69"/>
  <c r="E92" i="69" s="1"/>
  <c r="F92" i="69" s="1"/>
  <c r="G92" i="69" s="1"/>
  <c r="H92" i="69" s="1"/>
  <c r="I92" i="69" s="1"/>
  <c r="J92" i="69" s="1"/>
  <c r="K92" i="69" s="1"/>
  <c r="M92" i="69" s="1"/>
  <c r="AR93" i="67" a="1"/>
  <c r="AR93" i="67" s="1"/>
  <c r="B94" i="69"/>
  <c r="L94" i="69" s="1"/>
  <c r="AL38" i="11" a="1"/>
  <c r="AL38" i="11" s="1"/>
  <c r="E39" i="32" s="1"/>
  <c r="AP48" i="59" a="1"/>
  <c r="AP48" i="59" s="1"/>
  <c r="E49" i="50" s="1"/>
  <c r="X106" i="57" l="1"/>
  <c r="AF106" i="57" s="1"/>
  <c r="AG108" i="57"/>
  <c r="M109" i="53"/>
  <c r="AC109" i="53" s="1"/>
  <c r="O109" i="53"/>
  <c r="AP93" i="69"/>
  <c r="N93" i="69"/>
  <c r="U93" i="69" s="1"/>
  <c r="AF105" i="57"/>
  <c r="AA105" i="57"/>
  <c r="AQ107" i="57"/>
  <c r="AD107" i="57"/>
  <c r="AJ107" i="57"/>
  <c r="R107" i="57"/>
  <c r="Q107" i="57"/>
  <c r="T107" i="57" s="1"/>
  <c r="AC107" i="57"/>
  <c r="AE107" i="57"/>
  <c r="M108" i="57"/>
  <c r="AK108" i="57" s="1"/>
  <c r="Q48" i="50"/>
  <c r="P48" i="50" s="1"/>
  <c r="N109" i="53"/>
  <c r="T39" i="32"/>
  <c r="O39" i="32"/>
  <c r="O49" i="50"/>
  <c r="T49" i="50"/>
  <c r="AA107" i="53"/>
  <c r="AB107" i="53"/>
  <c r="AP44" i="50"/>
  <c r="AP43" i="50"/>
  <c r="AK45" i="50"/>
  <c r="AL45" i="50" s="1"/>
  <c r="AG45" i="50"/>
  <c r="AH45" i="50" s="1"/>
  <c r="AI45" i="50" s="1"/>
  <c r="C47" i="50"/>
  <c r="AJ47" i="50"/>
  <c r="S48" i="50"/>
  <c r="Z48" i="50" s="1"/>
  <c r="W47" i="50"/>
  <c r="X46" i="50"/>
  <c r="AD46" i="50" s="1"/>
  <c r="V47" i="50"/>
  <c r="AF92" i="69"/>
  <c r="Q92" i="69"/>
  <c r="O109" i="57"/>
  <c r="P109" i="57"/>
  <c r="AM45" i="50"/>
  <c r="AC90" i="69"/>
  <c r="AD90" i="69" s="1"/>
  <c r="AB91" i="69"/>
  <c r="AG91" i="69"/>
  <c r="O94" i="69"/>
  <c r="AO93" i="69"/>
  <c r="AF107" i="53"/>
  <c r="AE108" i="53"/>
  <c r="AK39" i="32"/>
  <c r="R108" i="53"/>
  <c r="X108" i="53" s="1"/>
  <c r="AY92" i="69"/>
  <c r="L109" i="57"/>
  <c r="AH108" i="53"/>
  <c r="AT108" i="53"/>
  <c r="AG108" i="53"/>
  <c r="N109" i="57"/>
  <c r="P109" i="53"/>
  <c r="AH92" i="69"/>
  <c r="Q108" i="53"/>
  <c r="AD108" i="53"/>
  <c r="I109" i="53"/>
  <c r="G109" i="53"/>
  <c r="D109" i="53"/>
  <c r="L109" i="53"/>
  <c r="K109" i="53"/>
  <c r="J109" i="53"/>
  <c r="F109" i="53"/>
  <c r="AK108" i="52" a="1"/>
  <c r="AK108" i="52" s="1"/>
  <c r="B110" i="53" s="1"/>
  <c r="E109" i="53"/>
  <c r="C109" i="53"/>
  <c r="H109" i="53"/>
  <c r="M49" i="50"/>
  <c r="B49" i="50"/>
  <c r="R49" i="50" s="1"/>
  <c r="I49" i="50"/>
  <c r="H49" i="50"/>
  <c r="J49" i="50"/>
  <c r="K49" i="50"/>
  <c r="L49" i="50"/>
  <c r="F49" i="50"/>
  <c r="U49" i="50" s="1"/>
  <c r="G49" i="50"/>
  <c r="A49" i="50"/>
  <c r="N49" i="50"/>
  <c r="K109" i="57"/>
  <c r="I109" i="57"/>
  <c r="H109" i="57"/>
  <c r="G109" i="57"/>
  <c r="C109" i="57"/>
  <c r="E109" i="57"/>
  <c r="D109" i="57"/>
  <c r="F109" i="57"/>
  <c r="J109" i="57"/>
  <c r="AN108" i="55" a="1"/>
  <c r="AN108" i="55" s="1"/>
  <c r="B110" i="57" s="1"/>
  <c r="AR94" i="67" a="1"/>
  <c r="AR94" i="67" s="1"/>
  <c r="B95" i="69"/>
  <c r="L95" i="69" s="1"/>
  <c r="D93" i="69"/>
  <c r="E93" i="69" s="1"/>
  <c r="F93" i="69" s="1"/>
  <c r="G93" i="69" s="1"/>
  <c r="H93" i="69" s="1"/>
  <c r="I93" i="69" s="1"/>
  <c r="J93" i="69" s="1"/>
  <c r="K93" i="69" s="1"/>
  <c r="M93" i="69" s="1"/>
  <c r="AE92" i="69"/>
  <c r="R92" i="69"/>
  <c r="S92" i="69" s="1"/>
  <c r="Y92" i="69" s="1"/>
  <c r="C94" i="69"/>
  <c r="P94" i="69" s="1"/>
  <c r="AL39" i="11" a="1"/>
  <c r="AL39" i="11" s="1"/>
  <c r="E40" i="32" s="1"/>
  <c r="AP49" i="59" a="1"/>
  <c r="AP49" i="59" s="1"/>
  <c r="E50" i="50" s="1"/>
  <c r="X107" i="57" l="1"/>
  <c r="AB107" i="57" s="1"/>
  <c r="AG109" i="57"/>
  <c r="AA106" i="57"/>
  <c r="AB106" i="57"/>
  <c r="M110" i="53"/>
  <c r="AC110" i="53" s="1"/>
  <c r="O110" i="53"/>
  <c r="AP94" i="69"/>
  <c r="N94" i="69"/>
  <c r="U94" i="69" s="1"/>
  <c r="AJ108" i="57"/>
  <c r="R108" i="57"/>
  <c r="AD108" i="57"/>
  <c r="AC108" i="57"/>
  <c r="Q108" i="57"/>
  <c r="T108" i="57" s="1"/>
  <c r="AE108" i="57"/>
  <c r="AQ108" i="57"/>
  <c r="M109" i="57"/>
  <c r="AK109" i="57" s="1"/>
  <c r="Q49" i="50"/>
  <c r="P49" i="50" s="1"/>
  <c r="N110" i="53"/>
  <c r="O40" i="32"/>
  <c r="T40" i="32"/>
  <c r="T50" i="50"/>
  <c r="O50" i="50"/>
  <c r="AA108" i="53"/>
  <c r="AB108" i="53"/>
  <c r="AP45" i="50"/>
  <c r="AK46" i="50"/>
  <c r="AL46" i="50" s="1"/>
  <c r="AG46" i="50"/>
  <c r="AH46" i="50" s="1"/>
  <c r="AI46" i="50" s="1"/>
  <c r="AJ48" i="50"/>
  <c r="C48" i="50"/>
  <c r="S49" i="50"/>
  <c r="Z49" i="50" s="1"/>
  <c r="W48" i="50"/>
  <c r="X47" i="50"/>
  <c r="V48" i="50"/>
  <c r="AF93" i="69"/>
  <c r="Q93" i="69"/>
  <c r="O110" i="57"/>
  <c r="P110" i="57"/>
  <c r="AD47" i="50"/>
  <c r="AM46" i="50"/>
  <c r="AC91" i="69"/>
  <c r="AD91" i="69" s="1"/>
  <c r="AB92" i="69"/>
  <c r="AG92" i="69"/>
  <c r="AO94" i="69"/>
  <c r="O95" i="69"/>
  <c r="AF108" i="53"/>
  <c r="AE109" i="53"/>
  <c r="AK40" i="32"/>
  <c r="R109" i="53"/>
  <c r="X109" i="53" s="1"/>
  <c r="AY93" i="69"/>
  <c r="L110" i="57"/>
  <c r="AG109" i="53"/>
  <c r="AH109" i="53"/>
  <c r="AT109" i="53"/>
  <c r="N110" i="57"/>
  <c r="I110" i="53"/>
  <c r="AH93" i="69"/>
  <c r="AD109" i="53"/>
  <c r="Q109" i="53"/>
  <c r="C110" i="53"/>
  <c r="D110" i="53"/>
  <c r="G110" i="53"/>
  <c r="AK109" i="52" a="1"/>
  <c r="AK109" i="52" s="1"/>
  <c r="B111" i="53" s="1"/>
  <c r="K110" i="53"/>
  <c r="H110" i="53"/>
  <c r="F110" i="53"/>
  <c r="P110" i="53"/>
  <c r="J110" i="53"/>
  <c r="L110" i="53"/>
  <c r="E110" i="53"/>
  <c r="I50" i="50"/>
  <c r="F50" i="50"/>
  <c r="U50" i="50" s="1"/>
  <c r="G50" i="50"/>
  <c r="M50" i="50"/>
  <c r="A50" i="50"/>
  <c r="N50" i="50"/>
  <c r="H50" i="50"/>
  <c r="J50" i="50"/>
  <c r="K50" i="50"/>
  <c r="L50" i="50"/>
  <c r="B50" i="50"/>
  <c r="R50" i="50" s="1"/>
  <c r="J110" i="57"/>
  <c r="E110" i="57"/>
  <c r="H110" i="57"/>
  <c r="D110" i="57"/>
  <c r="I110" i="57"/>
  <c r="G110" i="57"/>
  <c r="C110" i="57"/>
  <c r="K110" i="57"/>
  <c r="F110" i="57"/>
  <c r="AN109" i="55" a="1"/>
  <c r="AN109" i="55" s="1"/>
  <c r="B111" i="57" s="1"/>
  <c r="AR95" i="67" a="1"/>
  <c r="AR95" i="67" s="1"/>
  <c r="B96" i="69"/>
  <c r="L96" i="69" s="1"/>
  <c r="AE93" i="69"/>
  <c r="R93" i="69"/>
  <c r="S93" i="69" s="1"/>
  <c r="Y93" i="69" s="1"/>
  <c r="D94" i="69"/>
  <c r="E94" i="69" s="1"/>
  <c r="F94" i="69" s="1"/>
  <c r="G94" i="69" s="1"/>
  <c r="H94" i="69" s="1"/>
  <c r="I94" i="69" s="1"/>
  <c r="J94" i="69" s="1"/>
  <c r="K94" i="69" s="1"/>
  <c r="M94" i="69" s="1"/>
  <c r="C95" i="69"/>
  <c r="P95" i="69" s="1"/>
  <c r="AL40" i="11" a="1"/>
  <c r="AL40" i="11" s="1"/>
  <c r="E41" i="32" s="1"/>
  <c r="AP50" i="59" a="1"/>
  <c r="AP50" i="59" s="1"/>
  <c r="E51" i="50" s="1"/>
  <c r="AB93" i="69" l="1"/>
  <c r="AC93" i="69" s="1"/>
  <c r="AD93" i="69" s="1"/>
  <c r="X108" i="57"/>
  <c r="AB108" i="57" s="1"/>
  <c r="AG110" i="57"/>
  <c r="M111" i="53"/>
  <c r="AC111" i="53" s="1"/>
  <c r="O111" i="53"/>
  <c r="AP95" i="69"/>
  <c r="N95" i="69"/>
  <c r="U95" i="69" s="1"/>
  <c r="AQ109" i="57"/>
  <c r="AA107" i="57"/>
  <c r="AF107" i="57"/>
  <c r="AJ109" i="57"/>
  <c r="R109" i="57"/>
  <c r="Q109" i="57"/>
  <c r="T109" i="57" s="1"/>
  <c r="AE109" i="57"/>
  <c r="AD109" i="57"/>
  <c r="AC109" i="57"/>
  <c r="M110" i="57"/>
  <c r="AK110" i="57" s="1"/>
  <c r="Q50" i="50"/>
  <c r="P50" i="50" s="1"/>
  <c r="N111" i="53"/>
  <c r="O41" i="32"/>
  <c r="T41" i="32"/>
  <c r="T51" i="50"/>
  <c r="O51" i="50"/>
  <c r="AA109" i="53"/>
  <c r="AB109" i="53"/>
  <c r="AP46" i="50"/>
  <c r="C49" i="50"/>
  <c r="AJ49" i="50"/>
  <c r="S50" i="50"/>
  <c r="Z50" i="50" s="1"/>
  <c r="W49" i="50"/>
  <c r="X48" i="50"/>
  <c r="V49" i="50"/>
  <c r="AF94" i="69"/>
  <c r="Q94" i="69"/>
  <c r="O111" i="57"/>
  <c r="P111" i="57"/>
  <c r="AD48" i="50"/>
  <c r="AM47" i="50"/>
  <c r="AC92" i="69"/>
  <c r="AD92" i="69" s="1"/>
  <c r="AG93" i="69"/>
  <c r="O96" i="69"/>
  <c r="AO95" i="69"/>
  <c r="AF109" i="53"/>
  <c r="AE110" i="53"/>
  <c r="AK41" i="32"/>
  <c r="R110" i="53"/>
  <c r="X110" i="53" s="1"/>
  <c r="AY94" i="69"/>
  <c r="L111" i="57"/>
  <c r="AH110" i="53"/>
  <c r="AT110" i="53"/>
  <c r="AG110" i="53"/>
  <c r="N111" i="57"/>
  <c r="AH94" i="69"/>
  <c r="Q110" i="53"/>
  <c r="AD110" i="53"/>
  <c r="AK110" i="52" a="1"/>
  <c r="AK110" i="52" s="1"/>
  <c r="B112" i="53" s="1"/>
  <c r="D111" i="53"/>
  <c r="G111" i="53"/>
  <c r="H111" i="53"/>
  <c r="L111" i="53"/>
  <c r="P111" i="53"/>
  <c r="K111" i="53"/>
  <c r="E111" i="53"/>
  <c r="J111" i="53"/>
  <c r="I111" i="53"/>
  <c r="C111" i="53"/>
  <c r="F111" i="53"/>
  <c r="F51" i="50"/>
  <c r="U51" i="50" s="1"/>
  <c r="A51" i="50"/>
  <c r="M51" i="50"/>
  <c r="K51" i="50"/>
  <c r="H51" i="50"/>
  <c r="L51" i="50"/>
  <c r="B51" i="50"/>
  <c r="R51" i="50" s="1"/>
  <c r="G51" i="50"/>
  <c r="N51" i="50"/>
  <c r="J51" i="50"/>
  <c r="I51" i="50"/>
  <c r="I111" i="57"/>
  <c r="H111" i="57"/>
  <c r="G111" i="57"/>
  <c r="E111" i="57"/>
  <c r="D111" i="57"/>
  <c r="K111" i="57"/>
  <c r="C111" i="57"/>
  <c r="F111" i="57"/>
  <c r="J111" i="57"/>
  <c r="AN110" i="55" a="1"/>
  <c r="AN110" i="55" s="1"/>
  <c r="B112" i="57" s="1"/>
  <c r="AR96" i="67" a="1"/>
  <c r="AR96" i="67" s="1"/>
  <c r="B97" i="69"/>
  <c r="L97" i="69" s="1"/>
  <c r="D95" i="69"/>
  <c r="E95" i="69" s="1"/>
  <c r="F95" i="69" s="1"/>
  <c r="G95" i="69" s="1"/>
  <c r="H95" i="69" s="1"/>
  <c r="I95" i="69" s="1"/>
  <c r="J95" i="69" s="1"/>
  <c r="K95" i="69" s="1"/>
  <c r="M95" i="69" s="1"/>
  <c r="R94" i="69"/>
  <c r="S94" i="69" s="1"/>
  <c r="Y94" i="69" s="1"/>
  <c r="AE94" i="69"/>
  <c r="C96" i="69"/>
  <c r="P96" i="69" s="1"/>
  <c r="AL41" i="11" a="1"/>
  <c r="AL41" i="11" s="1"/>
  <c r="E42" i="32" s="1"/>
  <c r="AP51" i="59" a="1"/>
  <c r="AP51" i="59" s="1"/>
  <c r="E52" i="50" s="1"/>
  <c r="AG111" i="57" l="1"/>
  <c r="X109" i="57"/>
  <c r="AB109" i="57" s="1"/>
  <c r="AF108" i="57"/>
  <c r="AA108" i="57"/>
  <c r="M112" i="53"/>
  <c r="AC112" i="53" s="1"/>
  <c r="O112" i="53"/>
  <c r="AP96" i="69"/>
  <c r="N96" i="69"/>
  <c r="U96" i="69" s="1"/>
  <c r="Q110" i="57"/>
  <c r="T110" i="57" s="1"/>
  <c r="AQ110" i="57"/>
  <c r="AC110" i="57"/>
  <c r="AE110" i="57"/>
  <c r="M111" i="57"/>
  <c r="AK111" i="57" s="1"/>
  <c r="AD110" i="57"/>
  <c r="AJ110" i="57"/>
  <c r="R110" i="57"/>
  <c r="Q51" i="50"/>
  <c r="P51" i="50" s="1"/>
  <c r="N112" i="53"/>
  <c r="T42" i="32"/>
  <c r="O42" i="32"/>
  <c r="O52" i="50"/>
  <c r="T52" i="50"/>
  <c r="AA110" i="53"/>
  <c r="AB110" i="53"/>
  <c r="AK47" i="50"/>
  <c r="AL47" i="50" s="1"/>
  <c r="AG47" i="50"/>
  <c r="AH47" i="50" s="1"/>
  <c r="AI47" i="50" s="1"/>
  <c r="AJ50" i="50"/>
  <c r="C50" i="50"/>
  <c r="S51" i="50"/>
  <c r="Z51" i="50" s="1"/>
  <c r="W50" i="50"/>
  <c r="X49" i="50"/>
  <c r="V50" i="50"/>
  <c r="AF95" i="69"/>
  <c r="Q95" i="69"/>
  <c r="O112" i="57"/>
  <c r="P112" i="57"/>
  <c r="AD49" i="50"/>
  <c r="AM48" i="50"/>
  <c r="AB94" i="69"/>
  <c r="AG94" i="69"/>
  <c r="AO96" i="69"/>
  <c r="O97" i="69"/>
  <c r="AE111" i="53"/>
  <c r="AF110" i="53"/>
  <c r="AK42" i="32"/>
  <c r="R111" i="53"/>
  <c r="X111" i="53" s="1"/>
  <c r="AY95" i="69"/>
  <c r="L112" i="57"/>
  <c r="AG111" i="53"/>
  <c r="Q111" i="53"/>
  <c r="AH111" i="53"/>
  <c r="AT111" i="53"/>
  <c r="N112" i="57"/>
  <c r="E112" i="53"/>
  <c r="AD111" i="53"/>
  <c r="AH95" i="69"/>
  <c r="H112" i="53"/>
  <c r="G112" i="53"/>
  <c r="J112" i="53"/>
  <c r="P112" i="53"/>
  <c r="L112" i="53"/>
  <c r="I112" i="53"/>
  <c r="C112" i="53"/>
  <c r="AK111" i="52" a="1"/>
  <c r="AK111" i="52" s="1"/>
  <c r="B113" i="53" s="1"/>
  <c r="F112" i="53"/>
  <c r="D112" i="53"/>
  <c r="K112" i="53"/>
  <c r="H52" i="50"/>
  <c r="N52" i="50"/>
  <c r="M52" i="50"/>
  <c r="F52" i="50"/>
  <c r="U52" i="50" s="1"/>
  <c r="L52" i="50"/>
  <c r="B52" i="50"/>
  <c r="R52" i="50" s="1"/>
  <c r="J52" i="50"/>
  <c r="I52" i="50"/>
  <c r="A52" i="50"/>
  <c r="G52" i="50"/>
  <c r="K52" i="50"/>
  <c r="K112" i="57"/>
  <c r="I112" i="57"/>
  <c r="F112" i="57"/>
  <c r="E112" i="57"/>
  <c r="C112" i="57"/>
  <c r="H112" i="57"/>
  <c r="D112" i="57"/>
  <c r="J112" i="57"/>
  <c r="G112" i="57"/>
  <c r="AN111" i="55" a="1"/>
  <c r="AN111" i="55" s="1"/>
  <c r="B113" i="57" s="1"/>
  <c r="D96" i="69"/>
  <c r="E96" i="69" s="1"/>
  <c r="F96" i="69" s="1"/>
  <c r="G96" i="69" s="1"/>
  <c r="H96" i="69" s="1"/>
  <c r="I96" i="69" s="1"/>
  <c r="J96" i="69" s="1"/>
  <c r="K96" i="69" s="1"/>
  <c r="M96" i="69" s="1"/>
  <c r="AE95" i="69"/>
  <c r="R95" i="69"/>
  <c r="S95" i="69" s="1"/>
  <c r="Y95" i="69" s="1"/>
  <c r="C97" i="69"/>
  <c r="P97" i="69" s="1"/>
  <c r="AR97" i="67" a="1"/>
  <c r="AR97" i="67" s="1"/>
  <c r="B98" i="69"/>
  <c r="L98" i="69" s="1"/>
  <c r="AL42" i="11" a="1"/>
  <c r="AL42" i="11" s="1"/>
  <c r="E43" i="32" s="1"/>
  <c r="AP52" i="59" a="1"/>
  <c r="AP52" i="59" s="1"/>
  <c r="E53" i="50" s="1"/>
  <c r="X110" i="57" l="1"/>
  <c r="AB110" i="57" s="1"/>
  <c r="AG112" i="57"/>
  <c r="AF109" i="57"/>
  <c r="AA109" i="57"/>
  <c r="Q111" i="57"/>
  <c r="T111" i="57" s="1"/>
  <c r="M113" i="53"/>
  <c r="AC113" i="53" s="1"/>
  <c r="O113" i="53"/>
  <c r="AP97" i="69"/>
  <c r="N97" i="69"/>
  <c r="U97" i="69" s="1"/>
  <c r="AJ111" i="57"/>
  <c r="R111" i="57"/>
  <c r="AD111" i="57"/>
  <c r="AC111" i="57"/>
  <c r="AE111" i="57"/>
  <c r="AQ111" i="57"/>
  <c r="M112" i="57"/>
  <c r="AK112" i="57" s="1"/>
  <c r="Q52" i="50"/>
  <c r="P52" i="50" s="1"/>
  <c r="N113" i="53"/>
  <c r="T43" i="32"/>
  <c r="O43" i="32"/>
  <c r="O53" i="50"/>
  <c r="T53" i="50"/>
  <c r="AA111" i="53"/>
  <c r="AB111" i="53"/>
  <c r="AP47" i="50"/>
  <c r="AK48" i="50"/>
  <c r="AL48" i="50" s="1"/>
  <c r="AG48" i="50"/>
  <c r="AH48" i="50" s="1"/>
  <c r="AI48" i="50" s="1"/>
  <c r="C51" i="50"/>
  <c r="AJ51" i="50"/>
  <c r="S52" i="50"/>
  <c r="Z52" i="50" s="1"/>
  <c r="W51" i="50"/>
  <c r="X50" i="50"/>
  <c r="AD50" i="50" s="1"/>
  <c r="V51" i="50"/>
  <c r="AF96" i="69"/>
  <c r="Q96" i="69"/>
  <c r="O113" i="57"/>
  <c r="P113" i="57"/>
  <c r="AM49" i="50"/>
  <c r="AC94" i="69"/>
  <c r="AD94" i="69" s="1"/>
  <c r="AB95" i="69"/>
  <c r="AG95" i="69"/>
  <c r="AO97" i="69"/>
  <c r="O98" i="69"/>
  <c r="AE112" i="53"/>
  <c r="AF111" i="53"/>
  <c r="AK43" i="32"/>
  <c r="R112" i="53"/>
  <c r="X112" i="53" s="1"/>
  <c r="AY96" i="69"/>
  <c r="L113" i="57"/>
  <c r="AH112" i="53"/>
  <c r="AT112" i="53"/>
  <c r="AG112" i="53"/>
  <c r="N113" i="57"/>
  <c r="E113" i="53"/>
  <c r="AH96" i="69"/>
  <c r="AD112" i="53"/>
  <c r="Q112" i="53"/>
  <c r="H113" i="53"/>
  <c r="F113" i="53"/>
  <c r="D113" i="53"/>
  <c r="P113" i="53"/>
  <c r="AK112" i="52" a="1"/>
  <c r="AK112" i="52" s="1"/>
  <c r="B114" i="53" s="1"/>
  <c r="I113" i="53"/>
  <c r="K113" i="53"/>
  <c r="L113" i="53"/>
  <c r="C113" i="53"/>
  <c r="J113" i="53"/>
  <c r="G113" i="53"/>
  <c r="B53" i="50"/>
  <c r="R53" i="50" s="1"/>
  <c r="I53" i="50"/>
  <c r="H53" i="50"/>
  <c r="A53" i="50"/>
  <c r="G53" i="50"/>
  <c r="K53" i="50"/>
  <c r="J53" i="50"/>
  <c r="L53" i="50"/>
  <c r="N53" i="50"/>
  <c r="F53" i="50"/>
  <c r="U53" i="50" s="1"/>
  <c r="M53" i="50"/>
  <c r="D113" i="57"/>
  <c r="C113" i="57"/>
  <c r="K113" i="57"/>
  <c r="I113" i="57"/>
  <c r="E113" i="57"/>
  <c r="H113" i="57"/>
  <c r="G113" i="57"/>
  <c r="F113" i="57"/>
  <c r="J113" i="57"/>
  <c r="AN112" i="55" a="1"/>
  <c r="AN112" i="55" s="1"/>
  <c r="B114" i="57" s="1"/>
  <c r="AR98" i="67" a="1"/>
  <c r="AR98" i="67" s="1"/>
  <c r="B99" i="69"/>
  <c r="L99" i="69" s="1"/>
  <c r="AE96" i="69"/>
  <c r="R96" i="69"/>
  <c r="S96" i="69" s="1"/>
  <c r="Y96" i="69" s="1"/>
  <c r="C98" i="69"/>
  <c r="P98" i="69" s="1"/>
  <c r="D97" i="69"/>
  <c r="E97" i="69" s="1"/>
  <c r="F97" i="69" s="1"/>
  <c r="G97" i="69" s="1"/>
  <c r="H97" i="69" s="1"/>
  <c r="I97" i="69" s="1"/>
  <c r="J97" i="69" s="1"/>
  <c r="K97" i="69" s="1"/>
  <c r="M97" i="69" s="1"/>
  <c r="AL43" i="11" a="1"/>
  <c r="AL43" i="11" s="1"/>
  <c r="E44" i="32" s="1"/>
  <c r="AP53" i="59" a="1"/>
  <c r="AP53" i="59" s="1"/>
  <c r="E54" i="50" s="1"/>
  <c r="AG113" i="57" l="1"/>
  <c r="X111" i="57"/>
  <c r="AB111" i="57" s="1"/>
  <c r="M114" i="53"/>
  <c r="AC114" i="53" s="1"/>
  <c r="O114" i="53"/>
  <c r="AP98" i="69"/>
  <c r="N98" i="69"/>
  <c r="U98" i="69" s="1"/>
  <c r="AF110" i="57"/>
  <c r="AA110" i="57"/>
  <c r="AQ112" i="57"/>
  <c r="AE112" i="57"/>
  <c r="AD112" i="57"/>
  <c r="AJ112" i="57"/>
  <c r="R112" i="57"/>
  <c r="Q112" i="57"/>
  <c r="T112" i="57" s="1"/>
  <c r="AC112" i="57"/>
  <c r="M113" i="57"/>
  <c r="AK113" i="57" s="1"/>
  <c r="Q53" i="50"/>
  <c r="P53" i="50" s="1"/>
  <c r="N114" i="53"/>
  <c r="O44" i="32"/>
  <c r="T44" i="32"/>
  <c r="T54" i="50"/>
  <c r="O54" i="50"/>
  <c r="AA112" i="53"/>
  <c r="AB112" i="53"/>
  <c r="AP48" i="50"/>
  <c r="AK50" i="50"/>
  <c r="AL50" i="50" s="1"/>
  <c r="AG50" i="50"/>
  <c r="AH50" i="50" s="1"/>
  <c r="AI50" i="50" s="1"/>
  <c r="AK49" i="50"/>
  <c r="AL49" i="50" s="1"/>
  <c r="AG49" i="50"/>
  <c r="AH49" i="50" s="1"/>
  <c r="AI49" i="50" s="1"/>
  <c r="AJ52" i="50"/>
  <c r="C52" i="50"/>
  <c r="S53" i="50"/>
  <c r="Z53" i="50" s="1"/>
  <c r="W52" i="50"/>
  <c r="X51" i="50"/>
  <c r="AD51" i="50" s="1"/>
  <c r="V52" i="50"/>
  <c r="AF97" i="69"/>
  <c r="Q97" i="69"/>
  <c r="O114" i="57"/>
  <c r="P114" i="57"/>
  <c r="AM50" i="50"/>
  <c r="AC95" i="69"/>
  <c r="AD95" i="69" s="1"/>
  <c r="AB96" i="69"/>
  <c r="AG96" i="69"/>
  <c r="O99" i="69"/>
  <c r="AO98" i="69"/>
  <c r="AK54" i="50"/>
  <c r="AE113" i="53"/>
  <c r="AF112" i="53"/>
  <c r="AK44" i="32"/>
  <c r="R113" i="53"/>
  <c r="X113" i="53" s="1"/>
  <c r="AY97" i="69"/>
  <c r="L114" i="57"/>
  <c r="AH113" i="53"/>
  <c r="AT113" i="53"/>
  <c r="AG113" i="53"/>
  <c r="N114" i="57"/>
  <c r="G114" i="53"/>
  <c r="AH97" i="69"/>
  <c r="AD113" i="53"/>
  <c r="Q113" i="53"/>
  <c r="F114" i="53"/>
  <c r="L114" i="53"/>
  <c r="H114" i="53"/>
  <c r="E114" i="53"/>
  <c r="I114" i="53"/>
  <c r="P114" i="53"/>
  <c r="AK113" i="52" a="1"/>
  <c r="AK113" i="52" s="1"/>
  <c r="B115" i="53" s="1"/>
  <c r="C114" i="53"/>
  <c r="J114" i="53"/>
  <c r="K114" i="53"/>
  <c r="D114" i="53"/>
  <c r="F54" i="50"/>
  <c r="U54" i="50" s="1"/>
  <c r="G54" i="50"/>
  <c r="H54" i="50"/>
  <c r="L54" i="50"/>
  <c r="J54" i="50"/>
  <c r="K54" i="50"/>
  <c r="M54" i="50"/>
  <c r="A54" i="50"/>
  <c r="I54" i="50"/>
  <c r="B54" i="50"/>
  <c r="R54" i="50" s="1"/>
  <c r="N54" i="50"/>
  <c r="E114" i="57"/>
  <c r="C114" i="57"/>
  <c r="G114" i="57"/>
  <c r="I114" i="57"/>
  <c r="K114" i="57"/>
  <c r="F114" i="57"/>
  <c r="J114" i="57"/>
  <c r="D114" i="57"/>
  <c r="H114" i="57"/>
  <c r="AN113" i="55" a="1"/>
  <c r="AN113" i="55" s="1"/>
  <c r="B115" i="57" s="1"/>
  <c r="C99" i="69"/>
  <c r="P99" i="69" s="1"/>
  <c r="D98" i="69"/>
  <c r="E98" i="69" s="1"/>
  <c r="F98" i="69" s="1"/>
  <c r="G98" i="69" s="1"/>
  <c r="H98" i="69" s="1"/>
  <c r="I98" i="69" s="1"/>
  <c r="J98" i="69" s="1"/>
  <c r="K98" i="69" s="1"/>
  <c r="M98" i="69" s="1"/>
  <c r="R97" i="69"/>
  <c r="S97" i="69" s="1"/>
  <c r="AE97" i="69"/>
  <c r="AR99" i="67" a="1"/>
  <c r="AR99" i="67" s="1"/>
  <c r="B100" i="69"/>
  <c r="L100" i="69" s="1"/>
  <c r="AL44" i="11" a="1"/>
  <c r="AL44" i="11" s="1"/>
  <c r="E45" i="32" s="1"/>
  <c r="AP54" i="59" a="1"/>
  <c r="AP54" i="59" s="1"/>
  <c r="E55" i="50" s="1"/>
  <c r="AA111" i="57" l="1"/>
  <c r="Y97" i="69"/>
  <c r="AB97" i="69" s="1"/>
  <c r="AC97" i="69" s="1"/>
  <c r="AD97" i="69" s="1"/>
  <c r="AG114" i="57"/>
  <c r="X112" i="57"/>
  <c r="AB112" i="57" s="1"/>
  <c r="AF111" i="57"/>
  <c r="M115" i="53"/>
  <c r="AC115" i="53" s="1"/>
  <c r="O115" i="53"/>
  <c r="AP99" i="69"/>
  <c r="N99" i="69"/>
  <c r="U99" i="69" s="1"/>
  <c r="AJ113" i="57"/>
  <c r="R113" i="57"/>
  <c r="AD113" i="57"/>
  <c r="AE113" i="57"/>
  <c r="Q113" i="57"/>
  <c r="T113" i="57" s="1"/>
  <c r="AC113" i="57"/>
  <c r="AQ113" i="57"/>
  <c r="M114" i="57"/>
  <c r="AK114" i="57" s="1"/>
  <c r="Q54" i="50"/>
  <c r="P54" i="50" s="1"/>
  <c r="N115" i="53"/>
  <c r="O45" i="32"/>
  <c r="T45" i="32"/>
  <c r="T55" i="50"/>
  <c r="O55" i="50"/>
  <c r="AA113" i="53"/>
  <c r="AB113" i="53"/>
  <c r="AP50" i="50"/>
  <c r="AP49" i="50"/>
  <c r="AK51" i="50"/>
  <c r="AL51" i="50" s="1"/>
  <c r="AG51" i="50"/>
  <c r="AH51" i="50" s="1"/>
  <c r="AI51" i="50" s="1"/>
  <c r="AJ53" i="50"/>
  <c r="C53" i="50"/>
  <c r="S54" i="50"/>
  <c r="W53" i="50"/>
  <c r="X52" i="50"/>
  <c r="V53" i="50"/>
  <c r="AF98" i="69"/>
  <c r="Q98" i="69"/>
  <c r="O115" i="57"/>
  <c r="P115" i="57"/>
  <c r="AD52" i="50"/>
  <c r="AM51" i="50"/>
  <c r="AC96" i="69"/>
  <c r="AD96" i="69" s="1"/>
  <c r="O100" i="69"/>
  <c r="AO99" i="69"/>
  <c r="AK55" i="50"/>
  <c r="AF113" i="53"/>
  <c r="AE114" i="53"/>
  <c r="AK45" i="32"/>
  <c r="AM54" i="50"/>
  <c r="R114" i="53"/>
  <c r="X114" i="53" s="1"/>
  <c r="AY98" i="69"/>
  <c r="L115" i="57"/>
  <c r="AG114" i="53"/>
  <c r="AH114" i="53"/>
  <c r="AT114" i="53"/>
  <c r="N115" i="57"/>
  <c r="AH98" i="69"/>
  <c r="AD114" i="53"/>
  <c r="Q114" i="53"/>
  <c r="G115" i="53"/>
  <c r="H115" i="53"/>
  <c r="E115" i="53"/>
  <c r="I115" i="53"/>
  <c r="K115" i="53"/>
  <c r="L115" i="53"/>
  <c r="F115" i="53"/>
  <c r="P115" i="53"/>
  <c r="AK114" i="52" a="1"/>
  <c r="AK114" i="52" s="1"/>
  <c r="B116" i="53" s="1"/>
  <c r="J115" i="53"/>
  <c r="C115" i="53"/>
  <c r="D115" i="53"/>
  <c r="J55" i="50"/>
  <c r="M55" i="50"/>
  <c r="I55" i="50"/>
  <c r="N55" i="50"/>
  <c r="G55" i="50"/>
  <c r="F55" i="50"/>
  <c r="U55" i="50" s="1"/>
  <c r="K55" i="50"/>
  <c r="B55" i="50"/>
  <c r="R55" i="50" s="1"/>
  <c r="H55" i="50"/>
  <c r="L55" i="50"/>
  <c r="A55" i="50"/>
  <c r="E115" i="57"/>
  <c r="D115" i="57"/>
  <c r="C115" i="57"/>
  <c r="K115" i="57"/>
  <c r="G115" i="57"/>
  <c r="I115" i="57"/>
  <c r="H115" i="57"/>
  <c r="F115" i="57"/>
  <c r="J115" i="57"/>
  <c r="AN114" i="55" a="1"/>
  <c r="AN114" i="55" s="1"/>
  <c r="B116" i="57" s="1"/>
  <c r="AR100" i="67" a="1"/>
  <c r="AR100" i="67" s="1"/>
  <c r="B101" i="69"/>
  <c r="L101" i="69" s="1"/>
  <c r="D99" i="69"/>
  <c r="E99" i="69" s="1"/>
  <c r="F99" i="69" s="1"/>
  <c r="G99" i="69" s="1"/>
  <c r="H99" i="69" s="1"/>
  <c r="I99" i="69" s="1"/>
  <c r="J99" i="69" s="1"/>
  <c r="K99" i="69" s="1"/>
  <c r="M99" i="69" s="1"/>
  <c r="C100" i="69"/>
  <c r="P100" i="69" s="1"/>
  <c r="R98" i="69"/>
  <c r="S98" i="69" s="1"/>
  <c r="AE98" i="69"/>
  <c r="AL45" i="11" a="1"/>
  <c r="AL45" i="11" s="1"/>
  <c r="E46" i="32" s="1"/>
  <c r="AP55" i="59" a="1"/>
  <c r="AP55" i="59" s="1"/>
  <c r="E56" i="50" s="1"/>
  <c r="AG97" i="69" l="1"/>
  <c r="Y98" i="69"/>
  <c r="AB98" i="69" s="1"/>
  <c r="AC98" i="69" s="1"/>
  <c r="AD98" i="69" s="1"/>
  <c r="AD54" i="50"/>
  <c r="AG54" i="50" s="1"/>
  <c r="X113" i="57"/>
  <c r="AA113" i="57" s="1"/>
  <c r="AG115" i="57"/>
  <c r="M116" i="53"/>
  <c r="AC116" i="53" s="1"/>
  <c r="O116" i="53"/>
  <c r="AP100" i="69"/>
  <c r="N100" i="69"/>
  <c r="U100" i="69" s="1"/>
  <c r="AA112" i="57"/>
  <c r="AF112" i="57"/>
  <c r="AQ114" i="57"/>
  <c r="AJ114" i="57"/>
  <c r="R114" i="57"/>
  <c r="AE114" i="57"/>
  <c r="AC114" i="57"/>
  <c r="Q114" i="57"/>
  <c r="T114" i="57" s="1"/>
  <c r="AD114" i="57"/>
  <c r="M115" i="57"/>
  <c r="AK115" i="57" s="1"/>
  <c r="Q55" i="50"/>
  <c r="P55" i="50" s="1"/>
  <c r="N116" i="53"/>
  <c r="T46" i="32"/>
  <c r="O46" i="32"/>
  <c r="O56" i="50"/>
  <c r="T56" i="50"/>
  <c r="AA114" i="53"/>
  <c r="AB114" i="53"/>
  <c r="AP51" i="50"/>
  <c r="C54" i="50"/>
  <c r="Z54" i="50"/>
  <c r="S55" i="50"/>
  <c r="Z55" i="50" s="1"/>
  <c r="AJ54" i="50"/>
  <c r="W54" i="50"/>
  <c r="X53" i="50"/>
  <c r="AD53" i="50" s="1"/>
  <c r="V54" i="50"/>
  <c r="AF99" i="69"/>
  <c r="Q99" i="69"/>
  <c r="O116" i="57"/>
  <c r="P116" i="57"/>
  <c r="AM52" i="50"/>
  <c r="AO100" i="69"/>
  <c r="O101" i="69"/>
  <c r="AK56" i="50"/>
  <c r="AE115" i="53"/>
  <c r="AF114" i="53"/>
  <c r="AK46" i="32"/>
  <c r="AM55" i="50"/>
  <c r="R115" i="53"/>
  <c r="X115" i="53" s="1"/>
  <c r="AY99" i="69"/>
  <c r="L116" i="57"/>
  <c r="AG115" i="53"/>
  <c r="AH115" i="53"/>
  <c r="AT115" i="53"/>
  <c r="N116" i="57"/>
  <c r="G116" i="53"/>
  <c r="AH99" i="69"/>
  <c r="AD115" i="53"/>
  <c r="Q115" i="53"/>
  <c r="P116" i="53"/>
  <c r="F116" i="53"/>
  <c r="C116" i="53"/>
  <c r="K116" i="53"/>
  <c r="AK115" i="52" a="1"/>
  <c r="AK115" i="52" s="1"/>
  <c r="B117" i="53" s="1"/>
  <c r="H116" i="53"/>
  <c r="E116" i="53"/>
  <c r="L116" i="53"/>
  <c r="J116" i="53"/>
  <c r="I116" i="53"/>
  <c r="D116" i="53"/>
  <c r="F56" i="50"/>
  <c r="U56" i="50" s="1"/>
  <c r="L56" i="50"/>
  <c r="B56" i="50"/>
  <c r="R56" i="50" s="1"/>
  <c r="J56" i="50"/>
  <c r="M56" i="50"/>
  <c r="I56" i="50"/>
  <c r="H56" i="50"/>
  <c r="N56" i="50"/>
  <c r="G56" i="50"/>
  <c r="K56" i="50"/>
  <c r="A56" i="50"/>
  <c r="G116" i="57"/>
  <c r="E116" i="57"/>
  <c r="C116" i="57"/>
  <c r="I116" i="57"/>
  <c r="K116" i="57"/>
  <c r="J116" i="57"/>
  <c r="F116" i="57"/>
  <c r="D116" i="57"/>
  <c r="H116" i="57"/>
  <c r="AN115" i="55" a="1"/>
  <c r="AN115" i="55" s="1"/>
  <c r="B117" i="57" s="1"/>
  <c r="R99" i="69"/>
  <c r="S99" i="69" s="1"/>
  <c r="Y99" i="69" s="1"/>
  <c r="AE99" i="69"/>
  <c r="C101" i="69"/>
  <c r="P101" i="69" s="1"/>
  <c r="D100" i="69"/>
  <c r="E100" i="69" s="1"/>
  <c r="F100" i="69" s="1"/>
  <c r="G100" i="69" s="1"/>
  <c r="H100" i="69" s="1"/>
  <c r="I100" i="69" s="1"/>
  <c r="J100" i="69" s="1"/>
  <c r="K100" i="69" s="1"/>
  <c r="M100" i="69" s="1"/>
  <c r="AR101" i="67" a="1"/>
  <c r="AR101" i="67" s="1"/>
  <c r="B102" i="69"/>
  <c r="L102" i="69" s="1"/>
  <c r="AL46" i="11" a="1"/>
  <c r="AL46" i="11" s="1"/>
  <c r="E47" i="32" s="1"/>
  <c r="AP56" i="59" a="1"/>
  <c r="AP56" i="59" s="1"/>
  <c r="E57" i="50" s="1"/>
  <c r="AG98" i="69" l="1"/>
  <c r="AD55" i="50"/>
  <c r="AG55" i="50" s="1"/>
  <c r="X114" i="57"/>
  <c r="AB114" i="57" s="1"/>
  <c r="AG116" i="57"/>
  <c r="AF113" i="57"/>
  <c r="AB113" i="57"/>
  <c r="M117" i="53"/>
  <c r="AC117" i="53" s="1"/>
  <c r="O117" i="53"/>
  <c r="AP101" i="69"/>
  <c r="N101" i="69"/>
  <c r="U101" i="69" s="1"/>
  <c r="AE115" i="57"/>
  <c r="AQ115" i="57"/>
  <c r="AD115" i="57"/>
  <c r="Q115" i="57"/>
  <c r="T115" i="57" s="1"/>
  <c r="AJ115" i="57"/>
  <c r="R115" i="57"/>
  <c r="AC115" i="57"/>
  <c r="M116" i="57"/>
  <c r="AK116" i="57" s="1"/>
  <c r="Q56" i="50"/>
  <c r="P56" i="50" s="1"/>
  <c r="N117" i="53"/>
  <c r="T47" i="32"/>
  <c r="O47" i="32"/>
  <c r="O57" i="50"/>
  <c r="T57" i="50"/>
  <c r="AA115" i="53"/>
  <c r="AB115" i="53"/>
  <c r="AK52" i="50"/>
  <c r="AL52" i="50" s="1"/>
  <c r="AG52" i="50"/>
  <c r="AH52" i="50" s="1"/>
  <c r="AI52" i="50" s="1"/>
  <c r="AK53" i="50"/>
  <c r="AL53" i="50" s="1"/>
  <c r="AG53" i="50"/>
  <c r="AH53" i="50" s="1"/>
  <c r="AI53" i="50" s="1"/>
  <c r="AJ55" i="50"/>
  <c r="C55" i="50"/>
  <c r="S56" i="50"/>
  <c r="Z56" i="50" s="1"/>
  <c r="W55" i="50"/>
  <c r="X54" i="50"/>
  <c r="V55" i="50"/>
  <c r="AF100" i="69"/>
  <c r="Q100" i="69"/>
  <c r="O117" i="57"/>
  <c r="P117" i="57"/>
  <c r="AM53" i="50"/>
  <c r="AH54" i="50"/>
  <c r="AI54" i="50" s="1"/>
  <c r="AB99" i="69"/>
  <c r="AG99" i="69"/>
  <c r="AO101" i="69"/>
  <c r="O102" i="69"/>
  <c r="AK57" i="50"/>
  <c r="AF115" i="53"/>
  <c r="AE116" i="53"/>
  <c r="AK47" i="32"/>
  <c r="AM56" i="50"/>
  <c r="R116" i="53"/>
  <c r="X116" i="53" s="1"/>
  <c r="AL54" i="50"/>
  <c r="AY100" i="69"/>
  <c r="L117" i="57"/>
  <c r="AH116" i="53"/>
  <c r="AT116" i="53"/>
  <c r="AG116" i="53"/>
  <c r="N117" i="57"/>
  <c r="L117" i="53"/>
  <c r="AH100" i="69"/>
  <c r="AD116" i="53"/>
  <c r="Q116" i="53"/>
  <c r="AK116" i="52" a="1"/>
  <c r="AK116" i="52" s="1"/>
  <c r="B118" i="53" s="1"/>
  <c r="K117" i="53"/>
  <c r="P117" i="53"/>
  <c r="D117" i="53"/>
  <c r="G117" i="53"/>
  <c r="E117" i="53"/>
  <c r="J117" i="53"/>
  <c r="H117" i="53"/>
  <c r="C117" i="53"/>
  <c r="I117" i="53"/>
  <c r="F117" i="53"/>
  <c r="M57" i="50"/>
  <c r="J57" i="50"/>
  <c r="G57" i="50"/>
  <c r="L57" i="50"/>
  <c r="H57" i="50"/>
  <c r="I57" i="50"/>
  <c r="K57" i="50"/>
  <c r="B57" i="50"/>
  <c r="R57" i="50" s="1"/>
  <c r="F57" i="50"/>
  <c r="U57" i="50" s="1"/>
  <c r="A57" i="50"/>
  <c r="N57" i="50"/>
  <c r="G117" i="57"/>
  <c r="E117" i="57"/>
  <c r="D117" i="57"/>
  <c r="C117" i="57"/>
  <c r="H117" i="57"/>
  <c r="K117" i="57"/>
  <c r="I117" i="57"/>
  <c r="F117" i="57"/>
  <c r="J117" i="57"/>
  <c r="AN116" i="55" a="1"/>
  <c r="AN116" i="55" s="1"/>
  <c r="B118" i="57" s="1"/>
  <c r="C102" i="69"/>
  <c r="P102" i="69" s="1"/>
  <c r="AE100" i="69"/>
  <c r="R100" i="69"/>
  <c r="S100" i="69" s="1"/>
  <c r="AR102" i="67" a="1"/>
  <c r="AR102" i="67" s="1"/>
  <c r="B103" i="69"/>
  <c r="L103" i="69" s="1"/>
  <c r="D101" i="69"/>
  <c r="E101" i="69" s="1"/>
  <c r="F101" i="69" s="1"/>
  <c r="G101" i="69" s="1"/>
  <c r="H101" i="69" s="1"/>
  <c r="I101" i="69" s="1"/>
  <c r="J101" i="69" s="1"/>
  <c r="K101" i="69" s="1"/>
  <c r="M101" i="69" s="1"/>
  <c r="AL47" i="11" a="1"/>
  <c r="AL47" i="11" s="1"/>
  <c r="E48" i="32" s="1"/>
  <c r="AP57" i="59" a="1"/>
  <c r="AP57" i="59" s="1"/>
  <c r="E58" i="50" s="1"/>
  <c r="Y100" i="69" l="1"/>
  <c r="AB100" i="69" s="1"/>
  <c r="AC100" i="69" s="1"/>
  <c r="AD100" i="69" s="1"/>
  <c r="AD56" i="50"/>
  <c r="AG56" i="50" s="1"/>
  <c r="AG117" i="57"/>
  <c r="X115" i="57"/>
  <c r="AB115" i="57" s="1"/>
  <c r="AF114" i="57"/>
  <c r="AA114" i="57"/>
  <c r="AJ116" i="57"/>
  <c r="M118" i="53"/>
  <c r="AC118" i="53" s="1"/>
  <c r="O118" i="53"/>
  <c r="AP102" i="69"/>
  <c r="N102" i="69"/>
  <c r="U102" i="69" s="1"/>
  <c r="AD116" i="57"/>
  <c r="AQ116" i="57"/>
  <c r="Q116" i="57"/>
  <c r="T116" i="57" s="1"/>
  <c r="R116" i="57"/>
  <c r="AE116" i="57"/>
  <c r="AC116" i="57"/>
  <c r="M117" i="57"/>
  <c r="AE117" i="57" s="1"/>
  <c r="Q57" i="50"/>
  <c r="P57" i="50" s="1"/>
  <c r="N118" i="53"/>
  <c r="O48" i="32"/>
  <c r="T48" i="32"/>
  <c r="T58" i="50"/>
  <c r="O58" i="50"/>
  <c r="AA116" i="53"/>
  <c r="AB116" i="53"/>
  <c r="AP54" i="50"/>
  <c r="AP53" i="50"/>
  <c r="AP52" i="50"/>
  <c r="S57" i="50"/>
  <c r="Z57" i="50" s="1"/>
  <c r="AJ56" i="50"/>
  <c r="C56" i="50"/>
  <c r="W56" i="50"/>
  <c r="X55" i="50"/>
  <c r="V56" i="50"/>
  <c r="AF101" i="69"/>
  <c r="Q101" i="69"/>
  <c r="O118" i="57"/>
  <c r="P118" i="57"/>
  <c r="AC99" i="69"/>
  <c r="AD99" i="69" s="1"/>
  <c r="AH55" i="50"/>
  <c r="AI55" i="50" s="1"/>
  <c r="O103" i="69"/>
  <c r="AO102" i="69"/>
  <c r="AK58" i="50"/>
  <c r="AE117" i="53"/>
  <c r="AF116" i="53"/>
  <c r="AK48" i="32"/>
  <c r="AM57" i="50"/>
  <c r="R117" i="53"/>
  <c r="X117" i="53" s="1"/>
  <c r="AL55" i="50"/>
  <c r="AY101" i="69"/>
  <c r="L118" i="57"/>
  <c r="AH117" i="53"/>
  <c r="AT117" i="53"/>
  <c r="AG117" i="53"/>
  <c r="N118" i="57"/>
  <c r="AH101" i="69"/>
  <c r="AD117" i="53"/>
  <c r="Q117" i="53"/>
  <c r="L118" i="53"/>
  <c r="J118" i="53"/>
  <c r="E118" i="53"/>
  <c r="G118" i="53"/>
  <c r="C118" i="53"/>
  <c r="AK117" i="52" a="1"/>
  <c r="AK117" i="52" s="1"/>
  <c r="B119" i="53" s="1"/>
  <c r="P118" i="53"/>
  <c r="K118" i="53"/>
  <c r="D118" i="53"/>
  <c r="F118" i="53"/>
  <c r="H118" i="53"/>
  <c r="I118" i="53"/>
  <c r="I58" i="50"/>
  <c r="J58" i="50"/>
  <c r="K58" i="50"/>
  <c r="M58" i="50"/>
  <c r="L58" i="50"/>
  <c r="N58" i="50"/>
  <c r="G58" i="50"/>
  <c r="F58" i="50"/>
  <c r="U58" i="50" s="1"/>
  <c r="A58" i="50"/>
  <c r="H58" i="50"/>
  <c r="B58" i="50"/>
  <c r="R58" i="50" s="1"/>
  <c r="I118" i="57"/>
  <c r="G118" i="57"/>
  <c r="E118" i="57"/>
  <c r="C118" i="57"/>
  <c r="K118" i="57"/>
  <c r="F118" i="57"/>
  <c r="J118" i="57"/>
  <c r="D118" i="57"/>
  <c r="H118" i="57"/>
  <c r="AN117" i="55" a="1"/>
  <c r="AN117" i="55" s="1"/>
  <c r="B119" i="57" s="1"/>
  <c r="C103" i="69"/>
  <c r="P103" i="69" s="1"/>
  <c r="R101" i="69"/>
  <c r="S101" i="69" s="1"/>
  <c r="Y101" i="69" s="1"/>
  <c r="AE101" i="69"/>
  <c r="AR103" i="67" a="1"/>
  <c r="AR103" i="67" s="1"/>
  <c r="B104" i="69"/>
  <c r="L104" i="69" s="1"/>
  <c r="D102" i="69"/>
  <c r="E102" i="69" s="1"/>
  <c r="F102" i="69" s="1"/>
  <c r="G102" i="69" s="1"/>
  <c r="H102" i="69" s="1"/>
  <c r="I102" i="69" s="1"/>
  <c r="J102" i="69" s="1"/>
  <c r="K102" i="69" s="1"/>
  <c r="M102" i="69" s="1"/>
  <c r="AL48" i="11" a="1"/>
  <c r="AL48" i="11" s="1"/>
  <c r="E49" i="32" s="1"/>
  <c r="AP58" i="59" a="1"/>
  <c r="AP58" i="59" s="1"/>
  <c r="E59" i="50" s="1"/>
  <c r="X116" i="57" l="1"/>
  <c r="AB116" i="57" s="1"/>
  <c r="AG100" i="69"/>
  <c r="AD57" i="50"/>
  <c r="AG57" i="50" s="1"/>
  <c r="AG118" i="57"/>
  <c r="M119" i="53"/>
  <c r="AC119" i="53" s="1"/>
  <c r="O119" i="53"/>
  <c r="AP103" i="69"/>
  <c r="N103" i="69"/>
  <c r="U103" i="69" s="1"/>
  <c r="AQ117" i="57"/>
  <c r="AD117" i="57"/>
  <c r="AC117" i="57"/>
  <c r="AJ117" i="57"/>
  <c r="AF115" i="57"/>
  <c r="AA115" i="57"/>
  <c r="M118" i="57"/>
  <c r="AK118" i="57" s="1"/>
  <c r="AK117" i="57"/>
  <c r="Q117" i="57"/>
  <c r="T117" i="57" s="1"/>
  <c r="R117" i="57"/>
  <c r="Q58" i="50"/>
  <c r="P58" i="50" s="1"/>
  <c r="N119" i="53"/>
  <c r="O49" i="32"/>
  <c r="T49" i="32"/>
  <c r="T59" i="50"/>
  <c r="O59" i="50"/>
  <c r="AA117" i="53"/>
  <c r="AB117" i="53"/>
  <c r="AP55" i="50"/>
  <c r="C57" i="50"/>
  <c r="AJ57" i="50"/>
  <c r="S58" i="50"/>
  <c r="W57" i="50"/>
  <c r="X56" i="50"/>
  <c r="V57" i="50"/>
  <c r="AF102" i="69"/>
  <c r="Q102" i="69"/>
  <c r="O119" i="57"/>
  <c r="P119" i="57"/>
  <c r="AH56" i="50"/>
  <c r="AI56" i="50" s="1"/>
  <c r="AB101" i="69"/>
  <c r="AG101" i="69"/>
  <c r="AO103" i="69"/>
  <c r="O104" i="69"/>
  <c r="AK59" i="50"/>
  <c r="AF117" i="53"/>
  <c r="AE118" i="53"/>
  <c r="AK49" i="32"/>
  <c r="AM58" i="50"/>
  <c r="R118" i="53"/>
  <c r="X118" i="53" s="1"/>
  <c r="AL56" i="50"/>
  <c r="AY102" i="69"/>
  <c r="L119" i="57"/>
  <c r="AH118" i="53"/>
  <c r="AT118" i="53"/>
  <c r="AG118" i="53"/>
  <c r="N119" i="57"/>
  <c r="Q118" i="53"/>
  <c r="AD118" i="53"/>
  <c r="AH102" i="69"/>
  <c r="AK118" i="52" a="1"/>
  <c r="AK118" i="52" s="1"/>
  <c r="B120" i="53" s="1"/>
  <c r="G119" i="53"/>
  <c r="E119" i="53"/>
  <c r="F119" i="53"/>
  <c r="K119" i="53"/>
  <c r="H119" i="53"/>
  <c r="I119" i="53"/>
  <c r="C119" i="53"/>
  <c r="P119" i="53"/>
  <c r="D119" i="53"/>
  <c r="L119" i="53"/>
  <c r="J119" i="53"/>
  <c r="F59" i="50"/>
  <c r="U59" i="50" s="1"/>
  <c r="M59" i="50"/>
  <c r="I59" i="50"/>
  <c r="K59" i="50"/>
  <c r="A59" i="50"/>
  <c r="J59" i="50"/>
  <c r="L59" i="50"/>
  <c r="B59" i="50"/>
  <c r="R59" i="50" s="1"/>
  <c r="H59" i="50"/>
  <c r="G59" i="50"/>
  <c r="N59" i="50"/>
  <c r="H119" i="57"/>
  <c r="G119" i="57"/>
  <c r="E119" i="57"/>
  <c r="D119" i="57"/>
  <c r="C119" i="57"/>
  <c r="I119" i="57"/>
  <c r="K119" i="57"/>
  <c r="F119" i="57"/>
  <c r="J119" i="57"/>
  <c r="AN118" i="55" a="1"/>
  <c r="AN118" i="55" s="1"/>
  <c r="B120" i="57" s="1"/>
  <c r="R102" i="69"/>
  <c r="S102" i="69" s="1"/>
  <c r="Y102" i="69" s="1"/>
  <c r="AE102" i="69"/>
  <c r="C104" i="69"/>
  <c r="P104" i="69" s="1"/>
  <c r="AR104" i="67" a="1"/>
  <c r="AR104" i="67" s="1"/>
  <c r="B105" i="69"/>
  <c r="L105" i="69" s="1"/>
  <c r="D103" i="69"/>
  <c r="E103" i="69" s="1"/>
  <c r="F103" i="69" s="1"/>
  <c r="G103" i="69" s="1"/>
  <c r="H103" i="69" s="1"/>
  <c r="I103" i="69" s="1"/>
  <c r="J103" i="69" s="1"/>
  <c r="K103" i="69" s="1"/>
  <c r="M103" i="69" s="1"/>
  <c r="AL49" i="11" a="1"/>
  <c r="AL49" i="11" s="1"/>
  <c r="E50" i="32" s="1"/>
  <c r="AP59" i="59" a="1"/>
  <c r="AP59" i="59" s="1"/>
  <c r="E60" i="50" s="1"/>
  <c r="AD58" i="50" l="1"/>
  <c r="AG58" i="50" s="1"/>
  <c r="X117" i="57"/>
  <c r="AA117" i="57" s="1"/>
  <c r="AG119" i="57"/>
  <c r="M120" i="53"/>
  <c r="AC120" i="53" s="1"/>
  <c r="O120" i="53"/>
  <c r="AP104" i="69"/>
  <c r="N104" i="69"/>
  <c r="U104" i="69" s="1"/>
  <c r="AA116" i="57"/>
  <c r="R118" i="57"/>
  <c r="AC118" i="57"/>
  <c r="AF116" i="57"/>
  <c r="AE118" i="57"/>
  <c r="Q118" i="57"/>
  <c r="T118" i="57" s="1"/>
  <c r="AJ118" i="57"/>
  <c r="AD118" i="57"/>
  <c r="AQ118" i="57"/>
  <c r="M119" i="57"/>
  <c r="AK119" i="57" s="1"/>
  <c r="Q59" i="50"/>
  <c r="P59" i="50" s="1"/>
  <c r="N120" i="53"/>
  <c r="T50" i="32"/>
  <c r="O50" i="32"/>
  <c r="O60" i="50"/>
  <c r="T60" i="50"/>
  <c r="AA118" i="53"/>
  <c r="AB118" i="53"/>
  <c r="AP56" i="50"/>
  <c r="AJ58" i="50"/>
  <c r="Z58" i="50"/>
  <c r="S59" i="50"/>
  <c r="Z59" i="50" s="1"/>
  <c r="C58" i="50"/>
  <c r="W58" i="50"/>
  <c r="X57" i="50"/>
  <c r="V58" i="50"/>
  <c r="AF103" i="69"/>
  <c r="Q103" i="69"/>
  <c r="O120" i="57"/>
  <c r="P120" i="57"/>
  <c r="AC101" i="69"/>
  <c r="AD101" i="69" s="1"/>
  <c r="AH57" i="50"/>
  <c r="AI57" i="50" s="1"/>
  <c r="AB102" i="69"/>
  <c r="AG102" i="69"/>
  <c r="AO104" i="69"/>
  <c r="O105" i="69"/>
  <c r="AK60" i="50"/>
  <c r="AE119" i="53"/>
  <c r="AF118" i="53"/>
  <c r="AK50" i="32"/>
  <c r="AM59" i="50"/>
  <c r="R119" i="53"/>
  <c r="X119" i="53" s="1"/>
  <c r="AL57" i="50"/>
  <c r="AY103" i="69"/>
  <c r="L120" i="57"/>
  <c r="AG119" i="53"/>
  <c r="AH119" i="53"/>
  <c r="AT119" i="53"/>
  <c r="N120" i="57"/>
  <c r="AH103" i="69"/>
  <c r="AD119" i="53"/>
  <c r="Q119" i="53"/>
  <c r="AK119" i="52" a="1"/>
  <c r="AK119" i="52" s="1"/>
  <c r="B121" i="53" s="1"/>
  <c r="H120" i="53"/>
  <c r="J120" i="53"/>
  <c r="E120" i="53"/>
  <c r="D120" i="53"/>
  <c r="K120" i="53"/>
  <c r="G120" i="53"/>
  <c r="C120" i="53"/>
  <c r="P120" i="53"/>
  <c r="I120" i="53"/>
  <c r="L120" i="53"/>
  <c r="F120" i="53"/>
  <c r="H60" i="50"/>
  <c r="N60" i="50"/>
  <c r="B60" i="50"/>
  <c r="R60" i="50" s="1"/>
  <c r="M60" i="50"/>
  <c r="L60" i="50"/>
  <c r="F60" i="50"/>
  <c r="U60" i="50" s="1"/>
  <c r="I60" i="50"/>
  <c r="K60" i="50"/>
  <c r="J60" i="50"/>
  <c r="G60" i="50"/>
  <c r="A60" i="50"/>
  <c r="K120" i="57"/>
  <c r="I120" i="57"/>
  <c r="G120" i="57"/>
  <c r="E120" i="57"/>
  <c r="C120" i="57"/>
  <c r="F120" i="57"/>
  <c r="J120" i="57"/>
  <c r="H120" i="57"/>
  <c r="D120" i="57"/>
  <c r="AN119" i="55" a="1"/>
  <c r="AN119" i="55" s="1"/>
  <c r="B121" i="57" s="1"/>
  <c r="C105" i="69"/>
  <c r="P105" i="69" s="1"/>
  <c r="AR105" i="67" a="1"/>
  <c r="AR105" i="67" s="1"/>
  <c r="B106" i="69"/>
  <c r="L106" i="69" s="1"/>
  <c r="D104" i="69"/>
  <c r="E104" i="69" s="1"/>
  <c r="F104" i="69" s="1"/>
  <c r="G104" i="69" s="1"/>
  <c r="H104" i="69" s="1"/>
  <c r="I104" i="69" s="1"/>
  <c r="J104" i="69" s="1"/>
  <c r="K104" i="69" s="1"/>
  <c r="M104" i="69" s="1"/>
  <c r="AE103" i="69"/>
  <c r="R103" i="69"/>
  <c r="S103" i="69" s="1"/>
  <c r="Y103" i="69" s="1"/>
  <c r="AL50" i="11" a="1"/>
  <c r="AL50" i="11" s="1"/>
  <c r="E51" i="32" s="1"/>
  <c r="AP60" i="59" a="1"/>
  <c r="AP60" i="59" s="1"/>
  <c r="E61" i="50" s="1"/>
  <c r="AE119" i="57" l="1"/>
  <c r="R119" i="57"/>
  <c r="AB103" i="69"/>
  <c r="AC103" i="69" s="1"/>
  <c r="AD103" i="69" s="1"/>
  <c r="AD59" i="50"/>
  <c r="AG59" i="50" s="1"/>
  <c r="AG120" i="57"/>
  <c r="X118" i="57"/>
  <c r="AA118" i="57" s="1"/>
  <c r="M121" i="53"/>
  <c r="AC121" i="53" s="1"/>
  <c r="O121" i="53"/>
  <c r="AP105" i="69"/>
  <c r="N105" i="69"/>
  <c r="U105" i="69" s="1"/>
  <c r="Q119" i="57"/>
  <c r="T119" i="57" s="1"/>
  <c r="AD119" i="57"/>
  <c r="AQ119" i="57"/>
  <c r="AB117" i="57"/>
  <c r="AF117" i="57"/>
  <c r="AJ119" i="57"/>
  <c r="AC119" i="57"/>
  <c r="M120" i="57"/>
  <c r="AK120" i="57" s="1"/>
  <c r="Q60" i="50"/>
  <c r="P60" i="50" s="1"/>
  <c r="N121" i="53"/>
  <c r="T51" i="32"/>
  <c r="O51" i="32"/>
  <c r="O61" i="50"/>
  <c r="T61" i="50"/>
  <c r="AA119" i="53"/>
  <c r="AB119" i="53"/>
  <c r="AP57" i="50"/>
  <c r="AJ59" i="50"/>
  <c r="C59" i="50"/>
  <c r="S60" i="50"/>
  <c r="Z60" i="50" s="1"/>
  <c r="W59" i="50"/>
  <c r="X58" i="50"/>
  <c r="V59" i="50"/>
  <c r="AF104" i="69"/>
  <c r="Q104" i="69"/>
  <c r="O121" i="57"/>
  <c r="P121" i="57"/>
  <c r="AC102" i="69"/>
  <c r="AD102" i="69" s="1"/>
  <c r="AH58" i="50"/>
  <c r="AI58" i="50" s="1"/>
  <c r="AG103" i="69"/>
  <c r="AO105" i="69"/>
  <c r="O106" i="69"/>
  <c r="AK61" i="50"/>
  <c r="AE120" i="53"/>
  <c r="AF119" i="53"/>
  <c r="AK51" i="32"/>
  <c r="AM60" i="50"/>
  <c r="R120" i="53"/>
  <c r="X120" i="53" s="1"/>
  <c r="AL58" i="50"/>
  <c r="AY104" i="69"/>
  <c r="L121" i="57"/>
  <c r="AH120" i="53"/>
  <c r="AT120" i="53"/>
  <c r="AG120" i="53"/>
  <c r="N121" i="57"/>
  <c r="F121" i="53"/>
  <c r="AH104" i="69"/>
  <c r="Q120" i="53"/>
  <c r="AD120" i="53"/>
  <c r="P121" i="53"/>
  <c r="K121" i="53"/>
  <c r="L121" i="53"/>
  <c r="D121" i="53"/>
  <c r="J121" i="53"/>
  <c r="E121" i="53"/>
  <c r="I121" i="53"/>
  <c r="C121" i="53"/>
  <c r="AK120" i="52" a="1"/>
  <c r="AK120" i="52" s="1"/>
  <c r="B122" i="53" s="1"/>
  <c r="H121" i="53"/>
  <c r="G121" i="53"/>
  <c r="B61" i="50"/>
  <c r="R61" i="50" s="1"/>
  <c r="A61" i="50"/>
  <c r="H61" i="50"/>
  <c r="K61" i="50"/>
  <c r="M61" i="50"/>
  <c r="I61" i="50"/>
  <c r="G61" i="50"/>
  <c r="J61" i="50"/>
  <c r="L61" i="50"/>
  <c r="N61" i="50"/>
  <c r="F61" i="50"/>
  <c r="U61" i="50" s="1"/>
  <c r="I121" i="57"/>
  <c r="H121" i="57"/>
  <c r="G121" i="57"/>
  <c r="E121" i="57"/>
  <c r="D121" i="57"/>
  <c r="K121" i="57"/>
  <c r="C121" i="57"/>
  <c r="F121" i="57"/>
  <c r="J121" i="57"/>
  <c r="AN120" i="55" a="1"/>
  <c r="AN120" i="55" s="1"/>
  <c r="B122" i="57" s="1"/>
  <c r="AR106" i="67" a="1"/>
  <c r="AR106" i="67" s="1"/>
  <c r="B107" i="69"/>
  <c r="L107" i="69" s="1"/>
  <c r="D105" i="69"/>
  <c r="E105" i="69" s="1"/>
  <c r="F105" i="69" s="1"/>
  <c r="G105" i="69" s="1"/>
  <c r="H105" i="69" s="1"/>
  <c r="I105" i="69" s="1"/>
  <c r="J105" i="69" s="1"/>
  <c r="K105" i="69" s="1"/>
  <c r="M105" i="69" s="1"/>
  <c r="AE104" i="69"/>
  <c r="R104" i="69"/>
  <c r="S104" i="69" s="1"/>
  <c r="Y104" i="69" s="1"/>
  <c r="C106" i="69"/>
  <c r="P106" i="69" s="1"/>
  <c r="AL51" i="11" a="1"/>
  <c r="AL51" i="11" s="1"/>
  <c r="E52" i="32" s="1"/>
  <c r="AP61" i="59" a="1"/>
  <c r="AP61" i="59" s="1"/>
  <c r="E62" i="50" s="1"/>
  <c r="X119" i="57" l="1"/>
  <c r="AA119" i="57" s="1"/>
  <c r="AD60" i="50"/>
  <c r="AG60" i="50" s="1"/>
  <c r="AF118" i="57"/>
  <c r="AG121" i="57"/>
  <c r="AB118" i="57"/>
  <c r="M122" i="53"/>
  <c r="AC122" i="53" s="1"/>
  <c r="O122" i="53"/>
  <c r="AP106" i="69"/>
  <c r="N106" i="69"/>
  <c r="U106" i="69" s="1"/>
  <c r="AD120" i="57"/>
  <c r="AJ120" i="57"/>
  <c r="AQ120" i="57"/>
  <c r="R120" i="57"/>
  <c r="AE120" i="57"/>
  <c r="Q120" i="57"/>
  <c r="T120" i="57" s="1"/>
  <c r="AC120" i="57"/>
  <c r="M121" i="57"/>
  <c r="AK121" i="57" s="1"/>
  <c r="Q61" i="50"/>
  <c r="P61" i="50" s="1"/>
  <c r="N122" i="53"/>
  <c r="O52" i="32"/>
  <c r="T52" i="32"/>
  <c r="T62" i="50"/>
  <c r="O62" i="50"/>
  <c r="AA120" i="53"/>
  <c r="AB120" i="53"/>
  <c r="AP58" i="50"/>
  <c r="AJ60" i="50"/>
  <c r="S61" i="50"/>
  <c r="Z61" i="50" s="1"/>
  <c r="C60" i="50"/>
  <c r="W60" i="50"/>
  <c r="X59" i="50"/>
  <c r="V60" i="50"/>
  <c r="AF105" i="69"/>
  <c r="Q105" i="69"/>
  <c r="O122" i="57"/>
  <c r="P122" i="57"/>
  <c r="AH59" i="50"/>
  <c r="AI59" i="50" s="1"/>
  <c r="AB104" i="69"/>
  <c r="AG104" i="69"/>
  <c r="AO106" i="69"/>
  <c r="O107" i="69"/>
  <c r="AK62" i="50"/>
  <c r="AE121" i="53"/>
  <c r="AF120" i="53"/>
  <c r="AK52" i="32"/>
  <c r="AM61" i="50"/>
  <c r="R121" i="53"/>
  <c r="X121" i="53" s="1"/>
  <c r="AL59" i="50"/>
  <c r="AY105" i="69"/>
  <c r="L122" i="57"/>
  <c r="AH121" i="53"/>
  <c r="AT121" i="53"/>
  <c r="AG121" i="53"/>
  <c r="N122" i="57"/>
  <c r="P122" i="53"/>
  <c r="AH105" i="69"/>
  <c r="AD121" i="53"/>
  <c r="Q121" i="53"/>
  <c r="C122" i="53"/>
  <c r="K122" i="53"/>
  <c r="D122" i="53"/>
  <c r="J122" i="53"/>
  <c r="G122" i="53"/>
  <c r="I122" i="53"/>
  <c r="E122" i="53"/>
  <c r="AK121" i="52" a="1"/>
  <c r="AK121" i="52" s="1"/>
  <c r="B123" i="53" s="1"/>
  <c r="F122" i="53"/>
  <c r="H122" i="53"/>
  <c r="L122" i="53"/>
  <c r="G62" i="50"/>
  <c r="L62" i="50"/>
  <c r="A62" i="50"/>
  <c r="B62" i="50"/>
  <c r="R62" i="50" s="1"/>
  <c r="F62" i="50"/>
  <c r="U62" i="50" s="1"/>
  <c r="H62" i="50"/>
  <c r="N62" i="50"/>
  <c r="K62" i="50"/>
  <c r="M62" i="50"/>
  <c r="J62" i="50"/>
  <c r="I62" i="50"/>
  <c r="K122" i="57"/>
  <c r="I122" i="57"/>
  <c r="G122" i="57"/>
  <c r="E122" i="57"/>
  <c r="C122" i="57"/>
  <c r="F122" i="57"/>
  <c r="J122" i="57"/>
  <c r="D122" i="57"/>
  <c r="H122" i="57"/>
  <c r="AN121" i="55" a="1"/>
  <c r="AN121" i="55" s="1"/>
  <c r="B123" i="57" s="1"/>
  <c r="D106" i="69"/>
  <c r="E106" i="69" s="1"/>
  <c r="F106" i="69" s="1"/>
  <c r="G106" i="69" s="1"/>
  <c r="H106" i="69" s="1"/>
  <c r="I106" i="69" s="1"/>
  <c r="J106" i="69" s="1"/>
  <c r="K106" i="69" s="1"/>
  <c r="M106" i="69" s="1"/>
  <c r="C107" i="69"/>
  <c r="P107" i="69" s="1"/>
  <c r="R105" i="69"/>
  <c r="S105" i="69" s="1"/>
  <c r="Y105" i="69" s="1"/>
  <c r="AE105" i="69"/>
  <c r="AR107" i="67" a="1"/>
  <c r="AR107" i="67" s="1"/>
  <c r="B108" i="69"/>
  <c r="L108" i="69" s="1"/>
  <c r="AL52" i="11" a="1"/>
  <c r="AL52" i="11" s="1"/>
  <c r="E53" i="32" s="1"/>
  <c r="AP62" i="59" a="1"/>
  <c r="AP62" i="59" s="1"/>
  <c r="E63" i="50" s="1"/>
  <c r="AF119" i="57" l="1"/>
  <c r="AB119" i="57"/>
  <c r="AD61" i="50"/>
  <c r="AG61" i="50" s="1"/>
  <c r="AG122" i="57"/>
  <c r="X120" i="57"/>
  <c r="AB120" i="57" s="1"/>
  <c r="M123" i="53"/>
  <c r="AC123" i="53" s="1"/>
  <c r="O123" i="53"/>
  <c r="AP107" i="69"/>
  <c r="N107" i="69"/>
  <c r="U107" i="69" s="1"/>
  <c r="Q121" i="57"/>
  <c r="T121" i="57" s="1"/>
  <c r="AQ121" i="57"/>
  <c r="R121" i="57"/>
  <c r="AE121" i="57"/>
  <c r="AC121" i="57"/>
  <c r="AD121" i="57"/>
  <c r="AJ121" i="57"/>
  <c r="M122" i="57"/>
  <c r="AK122" i="57" s="1"/>
  <c r="Q62" i="50"/>
  <c r="P62" i="50" s="1"/>
  <c r="N123" i="53"/>
  <c r="O53" i="32"/>
  <c r="T53" i="32"/>
  <c r="T63" i="50"/>
  <c r="O63" i="50"/>
  <c r="AA121" i="53"/>
  <c r="AB121" i="53"/>
  <c r="AP59" i="50"/>
  <c r="AJ61" i="50"/>
  <c r="C61" i="50"/>
  <c r="S62" i="50"/>
  <c r="Z62" i="50" s="1"/>
  <c r="W61" i="50"/>
  <c r="X60" i="50"/>
  <c r="V61" i="50"/>
  <c r="AF106" i="69"/>
  <c r="Q106" i="69"/>
  <c r="O123" i="57"/>
  <c r="P123" i="57"/>
  <c r="AC104" i="69"/>
  <c r="AD104" i="69" s="1"/>
  <c r="AH60" i="50"/>
  <c r="AI60" i="50" s="1"/>
  <c r="AB105" i="69"/>
  <c r="AG105" i="69"/>
  <c r="O108" i="69"/>
  <c r="AO107" i="69"/>
  <c r="AK63" i="50"/>
  <c r="AF121" i="53"/>
  <c r="AE122" i="53"/>
  <c r="AK53" i="32"/>
  <c r="AM62" i="50"/>
  <c r="R122" i="53"/>
  <c r="X122" i="53" s="1"/>
  <c r="AL60" i="50"/>
  <c r="AY106" i="69"/>
  <c r="L123" i="57"/>
  <c r="AH122" i="53"/>
  <c r="AT122" i="53"/>
  <c r="AG122" i="53"/>
  <c r="N123" i="57"/>
  <c r="AH106" i="69"/>
  <c r="Q122" i="53"/>
  <c r="AD122" i="53"/>
  <c r="C123" i="53"/>
  <c r="J123" i="53"/>
  <c r="P123" i="53"/>
  <c r="F123" i="53"/>
  <c r="I123" i="53"/>
  <c r="G123" i="53"/>
  <c r="H123" i="53"/>
  <c r="D123" i="53"/>
  <c r="AK122" i="52" a="1"/>
  <c r="AK122" i="52" s="1"/>
  <c r="B124" i="53" s="1"/>
  <c r="E123" i="53"/>
  <c r="K123" i="53"/>
  <c r="L123" i="53"/>
  <c r="I63" i="50"/>
  <c r="M63" i="50"/>
  <c r="G63" i="50"/>
  <c r="F63" i="50"/>
  <c r="U63" i="50" s="1"/>
  <c r="L63" i="50"/>
  <c r="K63" i="50"/>
  <c r="A63" i="50"/>
  <c r="H63" i="50"/>
  <c r="N63" i="50"/>
  <c r="J63" i="50"/>
  <c r="B63" i="50"/>
  <c r="R63" i="50" s="1"/>
  <c r="K123" i="57"/>
  <c r="I123" i="57"/>
  <c r="H123" i="57"/>
  <c r="G123" i="57"/>
  <c r="E123" i="57"/>
  <c r="D123" i="57"/>
  <c r="C123" i="57"/>
  <c r="J123" i="57"/>
  <c r="F123" i="57"/>
  <c r="AN122" i="55" a="1"/>
  <c r="AN122" i="55" s="1"/>
  <c r="B124" i="57" s="1"/>
  <c r="AR108" i="67" a="1"/>
  <c r="AR108" i="67" s="1"/>
  <c r="B109" i="69"/>
  <c r="L109" i="69" s="1"/>
  <c r="D107" i="69"/>
  <c r="E107" i="69" s="1"/>
  <c r="F107" i="69" s="1"/>
  <c r="G107" i="69" s="1"/>
  <c r="H107" i="69" s="1"/>
  <c r="I107" i="69" s="1"/>
  <c r="J107" i="69" s="1"/>
  <c r="K107" i="69" s="1"/>
  <c r="M107" i="69" s="1"/>
  <c r="AE106" i="69"/>
  <c r="R106" i="69"/>
  <c r="S106" i="69" s="1"/>
  <c r="C108" i="69"/>
  <c r="P108" i="69" s="1"/>
  <c r="AL53" i="11" a="1"/>
  <c r="AL53" i="11" s="1"/>
  <c r="E54" i="32" s="1"/>
  <c r="AP63" i="59" a="1"/>
  <c r="AP63" i="59" s="1"/>
  <c r="E64" i="50" s="1"/>
  <c r="Y106" i="69" l="1"/>
  <c r="AB106" i="69" s="1"/>
  <c r="AC106" i="69" s="1"/>
  <c r="AD106" i="69" s="1"/>
  <c r="AD62" i="50"/>
  <c r="AG62" i="50" s="1"/>
  <c r="AG123" i="57"/>
  <c r="X121" i="57"/>
  <c r="AB121" i="57" s="1"/>
  <c r="M124" i="53"/>
  <c r="AC124" i="53" s="1"/>
  <c r="O124" i="53"/>
  <c r="AP108" i="69"/>
  <c r="N108" i="69"/>
  <c r="U108" i="69" s="1"/>
  <c r="AA120" i="57"/>
  <c r="AF120" i="57"/>
  <c r="AQ122" i="57"/>
  <c r="AJ122" i="57"/>
  <c r="AD122" i="57"/>
  <c r="R122" i="57"/>
  <c r="AC122" i="57"/>
  <c r="Q122" i="57"/>
  <c r="T122" i="57" s="1"/>
  <c r="AE122" i="57"/>
  <c r="M123" i="57"/>
  <c r="AK123" i="57" s="1"/>
  <c r="Q63" i="50"/>
  <c r="P63" i="50" s="1"/>
  <c r="N124" i="53"/>
  <c r="T54" i="32"/>
  <c r="O54" i="32"/>
  <c r="O64" i="50"/>
  <c r="T64" i="50"/>
  <c r="AA122" i="53"/>
  <c r="AB122" i="53"/>
  <c r="AP60" i="50"/>
  <c r="C62" i="50"/>
  <c r="AJ62" i="50"/>
  <c r="S63" i="50"/>
  <c r="Z63" i="50" s="1"/>
  <c r="W62" i="50"/>
  <c r="X61" i="50"/>
  <c r="V62" i="50"/>
  <c r="AF107" i="69"/>
  <c r="Q107" i="69"/>
  <c r="O124" i="57"/>
  <c r="P124" i="57"/>
  <c r="AC105" i="69"/>
  <c r="AD105" i="69" s="1"/>
  <c r="AH61" i="50"/>
  <c r="AI61" i="50" s="1"/>
  <c r="AO108" i="69"/>
  <c r="O109" i="69"/>
  <c r="AK64" i="50"/>
  <c r="AE123" i="53"/>
  <c r="AF122" i="53"/>
  <c r="AK54" i="32"/>
  <c r="AM63" i="50"/>
  <c r="R123" i="53"/>
  <c r="X123" i="53" s="1"/>
  <c r="AL61" i="50"/>
  <c r="AY107" i="69"/>
  <c r="L124" i="57"/>
  <c r="AG123" i="53"/>
  <c r="AH123" i="53"/>
  <c r="AT123" i="53"/>
  <c r="N124" i="57"/>
  <c r="K124" i="53"/>
  <c r="AH107" i="69"/>
  <c r="Q123" i="53"/>
  <c r="AD123" i="53"/>
  <c r="P124" i="53"/>
  <c r="D124" i="53"/>
  <c r="J124" i="53"/>
  <c r="H124" i="53"/>
  <c r="I124" i="53"/>
  <c r="F124" i="53"/>
  <c r="E124" i="53"/>
  <c r="G124" i="53"/>
  <c r="AK123" i="52" a="1"/>
  <c r="AK123" i="52" s="1"/>
  <c r="B125" i="53" s="1"/>
  <c r="L124" i="53"/>
  <c r="C124" i="53"/>
  <c r="F64" i="50"/>
  <c r="U64" i="50" s="1"/>
  <c r="H64" i="50"/>
  <c r="J64" i="50"/>
  <c r="L64" i="50"/>
  <c r="B64" i="50"/>
  <c r="R64" i="50" s="1"/>
  <c r="I64" i="50"/>
  <c r="G64" i="50"/>
  <c r="K64" i="50"/>
  <c r="M64" i="50"/>
  <c r="N64" i="50"/>
  <c r="A64" i="50"/>
  <c r="K124" i="57"/>
  <c r="I124" i="57"/>
  <c r="G124" i="57"/>
  <c r="E124" i="57"/>
  <c r="C124" i="57"/>
  <c r="F124" i="57"/>
  <c r="J124" i="57"/>
  <c r="H124" i="57"/>
  <c r="D124" i="57"/>
  <c r="AN123" i="55" a="1"/>
  <c r="AN123" i="55" s="1"/>
  <c r="B125" i="57" s="1"/>
  <c r="C109" i="69"/>
  <c r="P109" i="69" s="1"/>
  <c r="D108" i="69"/>
  <c r="E108" i="69" s="1"/>
  <c r="F108" i="69" s="1"/>
  <c r="G108" i="69" s="1"/>
  <c r="H108" i="69" s="1"/>
  <c r="I108" i="69" s="1"/>
  <c r="J108" i="69" s="1"/>
  <c r="K108" i="69" s="1"/>
  <c r="M108" i="69" s="1"/>
  <c r="AE107" i="69"/>
  <c r="R107" i="69"/>
  <c r="S107" i="69" s="1"/>
  <c r="AR109" i="67" a="1"/>
  <c r="AR109" i="67" s="1"/>
  <c r="B110" i="69"/>
  <c r="L110" i="69" s="1"/>
  <c r="AL54" i="11" a="1"/>
  <c r="AL54" i="11" s="1"/>
  <c r="AP64" i="59" a="1"/>
  <c r="AP64" i="59" s="1"/>
  <c r="E65" i="50" s="1"/>
  <c r="Y107" i="69" l="1"/>
  <c r="AB107" i="69" s="1"/>
  <c r="AC107" i="69" s="1"/>
  <c r="AD107" i="69" s="1"/>
  <c r="AG106" i="69"/>
  <c r="AD63" i="50"/>
  <c r="AG63" i="50" s="1"/>
  <c r="X122" i="57"/>
  <c r="AF122" i="57" s="1"/>
  <c r="AG124" i="57"/>
  <c r="M125" i="53"/>
  <c r="AC125" i="53" s="1"/>
  <c r="O125" i="53"/>
  <c r="AP109" i="69"/>
  <c r="N109" i="69"/>
  <c r="U109" i="69" s="1"/>
  <c r="AF121" i="57"/>
  <c r="AA121" i="57"/>
  <c r="AQ123" i="57"/>
  <c r="AE123" i="57"/>
  <c r="AD123" i="57"/>
  <c r="AJ123" i="57"/>
  <c r="Q123" i="57"/>
  <c r="T123" i="57" s="1"/>
  <c r="R123" i="57"/>
  <c r="AC123" i="57"/>
  <c r="M124" i="57"/>
  <c r="AK124" i="57" s="1"/>
  <c r="Q64" i="50"/>
  <c r="P64" i="50" s="1"/>
  <c r="N125" i="53"/>
  <c r="O65" i="50"/>
  <c r="T65" i="50"/>
  <c r="AA123" i="53"/>
  <c r="AB123" i="53"/>
  <c r="AP61" i="50"/>
  <c r="AJ63" i="50"/>
  <c r="C63" i="50"/>
  <c r="S64" i="50"/>
  <c r="W63" i="50"/>
  <c r="X62" i="50"/>
  <c r="V63" i="50"/>
  <c r="AF108" i="69"/>
  <c r="Q108" i="69"/>
  <c r="O125" i="57"/>
  <c r="P125" i="57"/>
  <c r="AH62" i="50"/>
  <c r="AI62" i="50" s="1"/>
  <c r="O110" i="69"/>
  <c r="AO109" i="69"/>
  <c r="AK65" i="50"/>
  <c r="AE124" i="53"/>
  <c r="AF123" i="53"/>
  <c r="AM64" i="50"/>
  <c r="R124" i="53"/>
  <c r="X124" i="53" s="1"/>
  <c r="AL62" i="50"/>
  <c r="AY108" i="69"/>
  <c r="L125" i="57"/>
  <c r="AH124" i="53"/>
  <c r="AT124" i="53"/>
  <c r="AG124" i="53"/>
  <c r="N125" i="57"/>
  <c r="J125" i="53"/>
  <c r="AH108" i="69"/>
  <c r="AD124" i="53"/>
  <c r="Q124" i="53"/>
  <c r="E125" i="53"/>
  <c r="H125" i="53"/>
  <c r="G125" i="53"/>
  <c r="K125" i="53"/>
  <c r="D125" i="53"/>
  <c r="I125" i="53"/>
  <c r="C125" i="53"/>
  <c r="P125" i="53"/>
  <c r="AK124" i="52" a="1"/>
  <c r="AK124" i="52" s="1"/>
  <c r="B126" i="53" s="1"/>
  <c r="L125" i="53"/>
  <c r="F125" i="53"/>
  <c r="M65" i="50"/>
  <c r="I65" i="50"/>
  <c r="B65" i="50"/>
  <c r="R65" i="50" s="1"/>
  <c r="J65" i="50"/>
  <c r="A65" i="50"/>
  <c r="L65" i="50"/>
  <c r="F65" i="50"/>
  <c r="U65" i="50" s="1"/>
  <c r="G65" i="50"/>
  <c r="N65" i="50"/>
  <c r="H65" i="50"/>
  <c r="K65" i="50"/>
  <c r="K125" i="57"/>
  <c r="I125" i="57"/>
  <c r="H125" i="57"/>
  <c r="G125" i="57"/>
  <c r="C125" i="57"/>
  <c r="E125" i="57"/>
  <c r="D125" i="57"/>
  <c r="F125" i="57"/>
  <c r="J125" i="57"/>
  <c r="E55" i="32"/>
  <c r="AN124" i="55" a="1"/>
  <c r="AN124" i="55" s="1"/>
  <c r="B126" i="57" s="1"/>
  <c r="AR110" i="67" a="1"/>
  <c r="AR110" i="67" s="1"/>
  <c r="B111" i="69"/>
  <c r="L111" i="69" s="1"/>
  <c r="D109" i="69"/>
  <c r="E109" i="69" s="1"/>
  <c r="F109" i="69" s="1"/>
  <c r="G109" i="69" s="1"/>
  <c r="H109" i="69" s="1"/>
  <c r="I109" i="69" s="1"/>
  <c r="J109" i="69" s="1"/>
  <c r="K109" i="69" s="1"/>
  <c r="M109" i="69" s="1"/>
  <c r="C110" i="69"/>
  <c r="P110" i="69" s="1"/>
  <c r="AE108" i="69"/>
  <c r="R108" i="69"/>
  <c r="S108" i="69" s="1"/>
  <c r="Y108" i="69" s="1"/>
  <c r="AL55" i="11" a="1"/>
  <c r="AL55" i="11" s="1"/>
  <c r="E56" i="32" s="1"/>
  <c r="AP65" i="59" a="1"/>
  <c r="AP65" i="59" s="1"/>
  <c r="E66" i="50" s="1"/>
  <c r="AG107" i="69" l="1"/>
  <c r="AD64" i="50"/>
  <c r="AG64" i="50" s="1"/>
  <c r="X123" i="57"/>
  <c r="AB123" i="57" s="1"/>
  <c r="AG125" i="57"/>
  <c r="M126" i="53"/>
  <c r="AC126" i="53" s="1"/>
  <c r="O126" i="53"/>
  <c r="AP110" i="69"/>
  <c r="N110" i="69"/>
  <c r="U110" i="69" s="1"/>
  <c r="AB122" i="57"/>
  <c r="AA122" i="57"/>
  <c r="AE124" i="57"/>
  <c r="Q124" i="57"/>
  <c r="T124" i="57" s="1"/>
  <c r="AQ124" i="57"/>
  <c r="AD124" i="57"/>
  <c r="AJ124" i="57"/>
  <c r="R124" i="57"/>
  <c r="AC124" i="57"/>
  <c r="M125" i="57"/>
  <c r="AK125" i="57" s="1"/>
  <c r="Q65" i="50"/>
  <c r="P65" i="50" s="1"/>
  <c r="N126" i="53"/>
  <c r="T55" i="32"/>
  <c r="O55" i="32"/>
  <c r="O56" i="32"/>
  <c r="T56" i="32"/>
  <c r="T66" i="50"/>
  <c r="O66" i="50"/>
  <c r="AA124" i="53"/>
  <c r="AB124" i="53"/>
  <c r="AP62" i="50"/>
  <c r="AJ64" i="50"/>
  <c r="Z64" i="50"/>
  <c r="S65" i="50"/>
  <c r="Z65" i="50" s="1"/>
  <c r="C64" i="50"/>
  <c r="W64" i="50"/>
  <c r="X63" i="50"/>
  <c r="V64" i="50"/>
  <c r="AF109" i="69"/>
  <c r="Q109" i="69"/>
  <c r="O126" i="57"/>
  <c r="P126" i="57"/>
  <c r="AH63" i="50"/>
  <c r="AI63" i="50" s="1"/>
  <c r="AB108" i="69"/>
  <c r="AG108" i="69"/>
  <c r="O111" i="69"/>
  <c r="AO110" i="69"/>
  <c r="AK66" i="50"/>
  <c r="AE125" i="53"/>
  <c r="AF124" i="53"/>
  <c r="AK55" i="32"/>
  <c r="AK56" i="32"/>
  <c r="AM65" i="50"/>
  <c r="R125" i="53"/>
  <c r="X125" i="53" s="1"/>
  <c r="AL63" i="50"/>
  <c r="AY109" i="69"/>
  <c r="L126" i="57"/>
  <c r="AH125" i="53"/>
  <c r="AT125" i="53"/>
  <c r="AG125" i="53"/>
  <c r="N126" i="57"/>
  <c r="J126" i="53"/>
  <c r="AH109" i="69"/>
  <c r="Q125" i="53"/>
  <c r="AD125" i="53"/>
  <c r="I126" i="53"/>
  <c r="D126" i="53"/>
  <c r="F126" i="53"/>
  <c r="E126" i="53"/>
  <c r="L126" i="53"/>
  <c r="C126" i="53"/>
  <c r="K126" i="53"/>
  <c r="H126" i="53"/>
  <c r="G126" i="53"/>
  <c r="AK125" i="52" a="1"/>
  <c r="AK125" i="52" s="1"/>
  <c r="B127" i="53" s="1"/>
  <c r="P126" i="53"/>
  <c r="I66" i="50"/>
  <c r="A66" i="50"/>
  <c r="L66" i="50"/>
  <c r="K66" i="50"/>
  <c r="G66" i="50"/>
  <c r="N66" i="50"/>
  <c r="B66" i="50"/>
  <c r="R66" i="50" s="1"/>
  <c r="H66" i="50"/>
  <c r="J66" i="50"/>
  <c r="F66" i="50"/>
  <c r="U66" i="50" s="1"/>
  <c r="M66" i="50"/>
  <c r="K126" i="57"/>
  <c r="I126" i="57"/>
  <c r="C126" i="57"/>
  <c r="G126" i="57"/>
  <c r="E126" i="57"/>
  <c r="F126" i="57"/>
  <c r="J126" i="57"/>
  <c r="D126" i="57"/>
  <c r="H126" i="57"/>
  <c r="AN125" i="55" a="1"/>
  <c r="AN125" i="55" s="1"/>
  <c r="B127" i="57" s="1"/>
  <c r="C111" i="69"/>
  <c r="P111" i="69" s="1"/>
  <c r="AE109" i="69"/>
  <c r="R109" i="69"/>
  <c r="S109" i="69" s="1"/>
  <c r="Y109" i="69" s="1"/>
  <c r="D110" i="69"/>
  <c r="E110" i="69" s="1"/>
  <c r="F110" i="69" s="1"/>
  <c r="G110" i="69" s="1"/>
  <c r="H110" i="69" s="1"/>
  <c r="I110" i="69" s="1"/>
  <c r="J110" i="69" s="1"/>
  <c r="K110" i="69" s="1"/>
  <c r="M110" i="69" s="1"/>
  <c r="AR111" i="67" a="1"/>
  <c r="AR111" i="67" s="1"/>
  <c r="B112" i="69"/>
  <c r="L112" i="69" s="1"/>
  <c r="AL56" i="11" a="1"/>
  <c r="AL56" i="11" s="1"/>
  <c r="AP66" i="59" a="1"/>
  <c r="AP66" i="59" s="1"/>
  <c r="E67" i="50" s="1"/>
  <c r="AB109" i="69" l="1"/>
  <c r="AC109" i="69" s="1"/>
  <c r="AD109" i="69" s="1"/>
  <c r="AD65" i="50"/>
  <c r="AG65" i="50" s="1"/>
  <c r="AG126" i="57"/>
  <c r="X124" i="57"/>
  <c r="AB124" i="57" s="1"/>
  <c r="M127" i="53"/>
  <c r="AC127" i="53" s="1"/>
  <c r="O127" i="53"/>
  <c r="AP111" i="69"/>
  <c r="N111" i="69"/>
  <c r="U111" i="69" s="1"/>
  <c r="R125" i="57"/>
  <c r="AE125" i="57"/>
  <c r="Q125" i="57"/>
  <c r="T125" i="57" s="1"/>
  <c r="AA123" i="57"/>
  <c r="AF123" i="57"/>
  <c r="AD125" i="57"/>
  <c r="AJ125" i="57"/>
  <c r="AC125" i="57"/>
  <c r="AQ125" i="57"/>
  <c r="M126" i="57"/>
  <c r="AK126" i="57" s="1"/>
  <c r="Q66" i="50"/>
  <c r="P66" i="50" s="1"/>
  <c r="N127" i="53"/>
  <c r="T67" i="50"/>
  <c r="O67" i="50"/>
  <c r="AA125" i="53"/>
  <c r="AB125" i="53"/>
  <c r="AP63" i="50"/>
  <c r="AJ65" i="50"/>
  <c r="C65" i="50"/>
  <c r="S66" i="50"/>
  <c r="W65" i="50"/>
  <c r="X64" i="50"/>
  <c r="V65" i="50"/>
  <c r="AF110" i="69"/>
  <c r="Q110" i="69"/>
  <c r="O127" i="57"/>
  <c r="P127" i="57"/>
  <c r="AC108" i="69"/>
  <c r="AD108" i="69" s="1"/>
  <c r="AH64" i="50"/>
  <c r="AI64" i="50" s="1"/>
  <c r="AG109" i="69"/>
  <c r="O112" i="69"/>
  <c r="AO111" i="69"/>
  <c r="AK67" i="50"/>
  <c r="AE126" i="53"/>
  <c r="AF125" i="53"/>
  <c r="AM66" i="50"/>
  <c r="R126" i="53"/>
  <c r="X126" i="53" s="1"/>
  <c r="AL64" i="50"/>
  <c r="AY110" i="69"/>
  <c r="L127" i="57"/>
  <c r="AG126" i="53"/>
  <c r="AH126" i="53"/>
  <c r="AT126" i="53"/>
  <c r="N127" i="57"/>
  <c r="L127" i="53"/>
  <c r="AH110" i="69"/>
  <c r="AD126" i="53"/>
  <c r="J127" i="53"/>
  <c r="G127" i="53"/>
  <c r="P127" i="53"/>
  <c r="Q126" i="53"/>
  <c r="H127" i="53"/>
  <c r="K127" i="53"/>
  <c r="D127" i="53"/>
  <c r="AK126" i="52" a="1"/>
  <c r="AK126" i="52" s="1"/>
  <c r="B128" i="53" s="1"/>
  <c r="E127" i="53"/>
  <c r="F127" i="53"/>
  <c r="I127" i="53"/>
  <c r="C127" i="53"/>
  <c r="F67" i="50"/>
  <c r="U67" i="50" s="1"/>
  <c r="K67" i="50"/>
  <c r="M67" i="50"/>
  <c r="A67" i="50"/>
  <c r="I67" i="50"/>
  <c r="G67" i="50"/>
  <c r="L67" i="50"/>
  <c r="B67" i="50"/>
  <c r="R67" i="50" s="1"/>
  <c r="H67" i="50"/>
  <c r="N67" i="50"/>
  <c r="J67" i="50"/>
  <c r="C127" i="57"/>
  <c r="K127" i="57"/>
  <c r="I127" i="57"/>
  <c r="H127" i="57"/>
  <c r="D127" i="57"/>
  <c r="G127" i="57"/>
  <c r="E127" i="57"/>
  <c r="J127" i="57"/>
  <c r="F127" i="57"/>
  <c r="E57" i="32"/>
  <c r="AN126" i="55" a="1"/>
  <c r="AN126" i="55" s="1"/>
  <c r="B128" i="57" s="1"/>
  <c r="AR112" i="67" a="1"/>
  <c r="AR112" i="67" s="1"/>
  <c r="B113" i="69"/>
  <c r="L113" i="69" s="1"/>
  <c r="D111" i="69"/>
  <c r="E111" i="69" s="1"/>
  <c r="F111" i="69" s="1"/>
  <c r="G111" i="69" s="1"/>
  <c r="H111" i="69" s="1"/>
  <c r="I111" i="69" s="1"/>
  <c r="J111" i="69" s="1"/>
  <c r="K111" i="69" s="1"/>
  <c r="M111" i="69" s="1"/>
  <c r="C112" i="69"/>
  <c r="P112" i="69" s="1"/>
  <c r="R110" i="69"/>
  <c r="S110" i="69" s="1"/>
  <c r="AE110" i="69"/>
  <c r="AL57" i="11" a="1"/>
  <c r="AL57" i="11" s="1"/>
  <c r="E58" i="32" s="1"/>
  <c r="AP67" i="59" a="1"/>
  <c r="AP67" i="59" s="1"/>
  <c r="E68" i="50" s="1"/>
  <c r="Y110" i="69" l="1"/>
  <c r="AB110" i="69" s="1"/>
  <c r="AC110" i="69" s="1"/>
  <c r="AD110" i="69" s="1"/>
  <c r="AD66" i="50"/>
  <c r="AG66" i="50" s="1"/>
  <c r="X125" i="57"/>
  <c r="AB125" i="57" s="1"/>
  <c r="AG127" i="57"/>
  <c r="AA124" i="57"/>
  <c r="M128" i="53"/>
  <c r="AC128" i="53" s="1"/>
  <c r="O128" i="53"/>
  <c r="AP112" i="69"/>
  <c r="N112" i="69"/>
  <c r="U112" i="69" s="1"/>
  <c r="Q126" i="57"/>
  <c r="T126" i="57" s="1"/>
  <c r="AJ126" i="57"/>
  <c r="AE126" i="57"/>
  <c r="AF124" i="57"/>
  <c r="AD126" i="57"/>
  <c r="R126" i="57"/>
  <c r="AC126" i="57"/>
  <c r="AQ126" i="57"/>
  <c r="M127" i="57"/>
  <c r="AK127" i="57" s="1"/>
  <c r="Q67" i="50"/>
  <c r="P67" i="50" s="1"/>
  <c r="N128" i="53"/>
  <c r="T58" i="32"/>
  <c r="O58" i="32"/>
  <c r="O57" i="32"/>
  <c r="T57" i="32"/>
  <c r="O68" i="50"/>
  <c r="T68" i="50"/>
  <c r="AA126" i="53"/>
  <c r="AB126" i="53"/>
  <c r="AP64" i="50"/>
  <c r="C66" i="50"/>
  <c r="Z66" i="50"/>
  <c r="AJ66" i="50"/>
  <c r="S67" i="50"/>
  <c r="Z67" i="50" s="1"/>
  <c r="W66" i="50"/>
  <c r="X65" i="50"/>
  <c r="V66" i="50"/>
  <c r="AF111" i="69"/>
  <c r="Q111" i="69"/>
  <c r="O128" i="57"/>
  <c r="P128" i="57"/>
  <c r="AH65" i="50"/>
  <c r="AI65" i="50" s="1"/>
  <c r="O113" i="69"/>
  <c r="AO112" i="69"/>
  <c r="AK68" i="50"/>
  <c r="AE127" i="53"/>
  <c r="AF126" i="53"/>
  <c r="AK58" i="32"/>
  <c r="AK57" i="32"/>
  <c r="AM67" i="50"/>
  <c r="R127" i="53"/>
  <c r="X127" i="53" s="1"/>
  <c r="AL65" i="50"/>
  <c r="AY111" i="69"/>
  <c r="L128" i="57"/>
  <c r="AH127" i="53"/>
  <c r="AT127" i="53"/>
  <c r="AG127" i="53"/>
  <c r="N128" i="57"/>
  <c r="AH111" i="69"/>
  <c r="Q127" i="53"/>
  <c r="AD127" i="53"/>
  <c r="C128" i="53"/>
  <c r="I128" i="53"/>
  <c r="F128" i="53"/>
  <c r="G128" i="53"/>
  <c r="E128" i="53"/>
  <c r="J128" i="53"/>
  <c r="K128" i="53"/>
  <c r="L128" i="53"/>
  <c r="P128" i="53"/>
  <c r="AK127" i="52" a="1"/>
  <c r="AK127" i="52" s="1"/>
  <c r="B129" i="53" s="1"/>
  <c r="H128" i="53"/>
  <c r="D128" i="53"/>
  <c r="I68" i="50"/>
  <c r="N68" i="50"/>
  <c r="H68" i="50"/>
  <c r="M68" i="50"/>
  <c r="L68" i="50"/>
  <c r="F68" i="50"/>
  <c r="U68" i="50" s="1"/>
  <c r="B68" i="50"/>
  <c r="R68" i="50" s="1"/>
  <c r="K68" i="50"/>
  <c r="A68" i="50"/>
  <c r="J68" i="50"/>
  <c r="G68" i="50"/>
  <c r="C128" i="57"/>
  <c r="K128" i="57"/>
  <c r="E128" i="57"/>
  <c r="I128" i="57"/>
  <c r="G128" i="57"/>
  <c r="F128" i="57"/>
  <c r="J128" i="57"/>
  <c r="D128" i="57"/>
  <c r="H128" i="57"/>
  <c r="AN127" i="55" a="1"/>
  <c r="AN127" i="55" s="1"/>
  <c r="B129" i="57" s="1"/>
  <c r="AE111" i="69"/>
  <c r="R111" i="69"/>
  <c r="S111" i="69" s="1"/>
  <c r="D112" i="69"/>
  <c r="E112" i="69" s="1"/>
  <c r="F112" i="69" s="1"/>
  <c r="G112" i="69" s="1"/>
  <c r="H112" i="69" s="1"/>
  <c r="I112" i="69" s="1"/>
  <c r="J112" i="69" s="1"/>
  <c r="K112" i="69" s="1"/>
  <c r="M112" i="69" s="1"/>
  <c r="C113" i="69"/>
  <c r="P113" i="69" s="1"/>
  <c r="AR113" i="67" a="1"/>
  <c r="AR113" i="67" s="1"/>
  <c r="B114" i="69"/>
  <c r="L114" i="69" s="1"/>
  <c r="AL58" i="11" a="1"/>
  <c r="AL58" i="11" s="1"/>
  <c r="AP68" i="59" a="1"/>
  <c r="AP68" i="59" s="1"/>
  <c r="E69" i="50" s="1"/>
  <c r="X126" i="57" l="1"/>
  <c r="AB126" i="57" s="1"/>
  <c r="Y111" i="69"/>
  <c r="AB111" i="69" s="1"/>
  <c r="AC111" i="69" s="1"/>
  <c r="AD111" i="69" s="1"/>
  <c r="AG110" i="69"/>
  <c r="AD67" i="50"/>
  <c r="AG67" i="50" s="1"/>
  <c r="AG128" i="57"/>
  <c r="AA125" i="57"/>
  <c r="AF125" i="57"/>
  <c r="M129" i="53"/>
  <c r="AC129" i="53" s="1"/>
  <c r="O129" i="53"/>
  <c r="AP113" i="69"/>
  <c r="N113" i="69"/>
  <c r="U113" i="69" s="1"/>
  <c r="AQ127" i="57"/>
  <c r="AJ127" i="57"/>
  <c r="AE127" i="57"/>
  <c r="Q127" i="57"/>
  <c r="T127" i="57" s="1"/>
  <c r="AD127" i="57"/>
  <c r="R127" i="57"/>
  <c r="AC127" i="57"/>
  <c r="M128" i="57"/>
  <c r="AK128" i="57" s="1"/>
  <c r="Q68" i="50"/>
  <c r="P68" i="50" s="1"/>
  <c r="N129" i="53"/>
  <c r="O69" i="50"/>
  <c r="T69" i="50"/>
  <c r="AA127" i="53"/>
  <c r="AB127" i="53"/>
  <c r="AP65" i="50"/>
  <c r="AJ67" i="50"/>
  <c r="C67" i="50"/>
  <c r="S68" i="50"/>
  <c r="Z68" i="50" s="1"/>
  <c r="W67" i="50"/>
  <c r="X66" i="50"/>
  <c r="V67" i="50"/>
  <c r="AF112" i="69"/>
  <c r="Q112" i="69"/>
  <c r="O129" i="57"/>
  <c r="P129" i="57"/>
  <c r="AH66" i="50"/>
  <c r="AI66" i="50" s="1"/>
  <c r="O114" i="69"/>
  <c r="AO113" i="69"/>
  <c r="AK69" i="50"/>
  <c r="AE128" i="53"/>
  <c r="AF127" i="53"/>
  <c r="AM68" i="50"/>
  <c r="R128" i="53"/>
  <c r="X128" i="53" s="1"/>
  <c r="AL66" i="50"/>
  <c r="AY112" i="69"/>
  <c r="L129" i="57"/>
  <c r="AG128" i="53"/>
  <c r="AH128" i="53"/>
  <c r="AT128" i="53"/>
  <c r="N129" i="57"/>
  <c r="F129" i="53"/>
  <c r="AH112" i="69"/>
  <c r="AD128" i="53"/>
  <c r="Q128" i="53"/>
  <c r="I129" i="53"/>
  <c r="L129" i="53"/>
  <c r="H129" i="53"/>
  <c r="E129" i="53"/>
  <c r="G129" i="53"/>
  <c r="C129" i="53"/>
  <c r="P129" i="53"/>
  <c r="AK128" i="52" a="1"/>
  <c r="AK128" i="52" s="1"/>
  <c r="B130" i="53" s="1"/>
  <c r="J129" i="53"/>
  <c r="D129" i="53"/>
  <c r="K129" i="53"/>
  <c r="B69" i="50"/>
  <c r="R69" i="50" s="1"/>
  <c r="I69" i="50"/>
  <c r="G69" i="50"/>
  <c r="A69" i="50"/>
  <c r="M69" i="50"/>
  <c r="K69" i="50"/>
  <c r="H69" i="50"/>
  <c r="J69" i="50"/>
  <c r="F69" i="50"/>
  <c r="U69" i="50" s="1"/>
  <c r="L69" i="50"/>
  <c r="N69" i="50"/>
  <c r="D129" i="57"/>
  <c r="C129" i="57"/>
  <c r="K129" i="57"/>
  <c r="I129" i="57"/>
  <c r="E129" i="57"/>
  <c r="H129" i="57"/>
  <c r="G129" i="57"/>
  <c r="F129" i="57"/>
  <c r="J129" i="57"/>
  <c r="E59" i="32"/>
  <c r="AN128" i="55" a="1"/>
  <c r="AN128" i="55" s="1"/>
  <c r="B130" i="57" s="1"/>
  <c r="AR114" i="67" a="1"/>
  <c r="AR114" i="67" s="1"/>
  <c r="B115" i="69"/>
  <c r="L115" i="69" s="1"/>
  <c r="C114" i="69"/>
  <c r="P114" i="69" s="1"/>
  <c r="D113" i="69"/>
  <c r="E113" i="69" s="1"/>
  <c r="F113" i="69" s="1"/>
  <c r="G113" i="69" s="1"/>
  <c r="H113" i="69" s="1"/>
  <c r="I113" i="69" s="1"/>
  <c r="J113" i="69" s="1"/>
  <c r="K113" i="69" s="1"/>
  <c r="M113" i="69" s="1"/>
  <c r="AE112" i="69"/>
  <c r="R112" i="69"/>
  <c r="S112" i="69" s="1"/>
  <c r="Y112" i="69" s="1"/>
  <c r="AL59" i="11" a="1"/>
  <c r="AL59" i="11" s="1"/>
  <c r="AP69" i="59" a="1"/>
  <c r="AP69" i="59" s="1"/>
  <c r="E70" i="50" s="1"/>
  <c r="AG111" i="69" l="1"/>
  <c r="AD68" i="50"/>
  <c r="AG68" i="50" s="1"/>
  <c r="AG129" i="57"/>
  <c r="X127" i="57"/>
  <c r="AB127" i="57" s="1"/>
  <c r="AF126" i="57"/>
  <c r="AA126" i="57"/>
  <c r="M130" i="53"/>
  <c r="AC130" i="53" s="1"/>
  <c r="O130" i="53"/>
  <c r="AP114" i="69"/>
  <c r="N114" i="69"/>
  <c r="U114" i="69" s="1"/>
  <c r="Q128" i="57"/>
  <c r="T128" i="57" s="1"/>
  <c r="R128" i="57"/>
  <c r="AC128" i="57"/>
  <c r="AE128" i="57"/>
  <c r="AQ128" i="57"/>
  <c r="AD128" i="57"/>
  <c r="AJ128" i="57"/>
  <c r="M129" i="57"/>
  <c r="AK129" i="57" s="1"/>
  <c r="Q69" i="50"/>
  <c r="P69" i="50" s="1"/>
  <c r="N130" i="53"/>
  <c r="T59" i="32"/>
  <c r="O59" i="32"/>
  <c r="T70" i="50"/>
  <c r="O70" i="50"/>
  <c r="AA128" i="53"/>
  <c r="AB128" i="53"/>
  <c r="AP66" i="50"/>
  <c r="S69" i="50"/>
  <c r="Z69" i="50" s="1"/>
  <c r="AJ68" i="50"/>
  <c r="C68" i="50"/>
  <c r="W68" i="50"/>
  <c r="X67" i="50"/>
  <c r="V68" i="50"/>
  <c r="AF113" i="69"/>
  <c r="Q113" i="69"/>
  <c r="O130" i="57"/>
  <c r="P130" i="57"/>
  <c r="AH67" i="50"/>
  <c r="AI67" i="50" s="1"/>
  <c r="AB112" i="69"/>
  <c r="AG112" i="69"/>
  <c r="O115" i="69"/>
  <c r="AO114" i="69"/>
  <c r="AK70" i="50"/>
  <c r="AE129" i="53"/>
  <c r="AF128" i="53"/>
  <c r="AK59" i="32"/>
  <c r="AM69" i="50"/>
  <c r="R129" i="53"/>
  <c r="X129" i="53" s="1"/>
  <c r="AL67" i="50"/>
  <c r="AY113" i="69"/>
  <c r="L130" i="57"/>
  <c r="AG129" i="53"/>
  <c r="AH129" i="53"/>
  <c r="AT129" i="53"/>
  <c r="N130" i="57"/>
  <c r="G130" i="53"/>
  <c r="AH113" i="69"/>
  <c r="Q129" i="53"/>
  <c r="AD129" i="53"/>
  <c r="I130" i="53"/>
  <c r="E130" i="53"/>
  <c r="L130" i="53"/>
  <c r="K130" i="53"/>
  <c r="C130" i="53"/>
  <c r="D130" i="53"/>
  <c r="H130" i="53"/>
  <c r="P130" i="53"/>
  <c r="J130" i="53"/>
  <c r="AK129" i="52" a="1"/>
  <c r="AK129" i="52" s="1"/>
  <c r="B131" i="53" s="1"/>
  <c r="F130" i="53"/>
  <c r="I70" i="50"/>
  <c r="G70" i="50"/>
  <c r="N70" i="50"/>
  <c r="A70" i="50"/>
  <c r="L70" i="50"/>
  <c r="K70" i="50"/>
  <c r="F70" i="50"/>
  <c r="U70" i="50" s="1"/>
  <c r="J70" i="50"/>
  <c r="M70" i="50"/>
  <c r="B70" i="50"/>
  <c r="R70" i="50" s="1"/>
  <c r="H70" i="50"/>
  <c r="E130" i="57"/>
  <c r="C130" i="57"/>
  <c r="G130" i="57"/>
  <c r="K130" i="57"/>
  <c r="I130" i="57"/>
  <c r="F130" i="57"/>
  <c r="J130" i="57"/>
  <c r="D130" i="57"/>
  <c r="H130" i="57"/>
  <c r="E60" i="32"/>
  <c r="AN129" i="55" a="1"/>
  <c r="AN129" i="55" s="1"/>
  <c r="B131" i="57" s="1"/>
  <c r="D114" i="69"/>
  <c r="E114" i="69" s="1"/>
  <c r="F114" i="69" s="1"/>
  <c r="G114" i="69" s="1"/>
  <c r="H114" i="69" s="1"/>
  <c r="I114" i="69" s="1"/>
  <c r="J114" i="69" s="1"/>
  <c r="K114" i="69" s="1"/>
  <c r="M114" i="69" s="1"/>
  <c r="C115" i="69"/>
  <c r="P115" i="69" s="1"/>
  <c r="R113" i="69"/>
  <c r="S113" i="69" s="1"/>
  <c r="Y113" i="69" s="1"/>
  <c r="AE113" i="69"/>
  <c r="AR115" i="67" a="1"/>
  <c r="AR115" i="67" s="1"/>
  <c r="B116" i="69"/>
  <c r="L116" i="69" s="1"/>
  <c r="AL60" i="11" a="1"/>
  <c r="AL60" i="11" s="1"/>
  <c r="E61" i="32" s="1"/>
  <c r="AP70" i="59" a="1"/>
  <c r="AP70" i="59" s="1"/>
  <c r="E71" i="50" s="1"/>
  <c r="AD69" i="50" l="1"/>
  <c r="AG69" i="50" s="1"/>
  <c r="X128" i="57"/>
  <c r="AA128" i="57" s="1"/>
  <c r="AG130" i="57"/>
  <c r="M131" i="53"/>
  <c r="AC131" i="53" s="1"/>
  <c r="O131" i="53"/>
  <c r="AP115" i="69"/>
  <c r="N115" i="69"/>
  <c r="U115" i="69" s="1"/>
  <c r="AJ129" i="57"/>
  <c r="AD129" i="57"/>
  <c r="AA127" i="57"/>
  <c r="AF127" i="57"/>
  <c r="AQ129" i="57"/>
  <c r="Q129" i="57"/>
  <c r="T129" i="57" s="1"/>
  <c r="R129" i="57"/>
  <c r="AE129" i="57"/>
  <c r="AC129" i="57"/>
  <c r="M130" i="57"/>
  <c r="AK130" i="57" s="1"/>
  <c r="Q70" i="50"/>
  <c r="P70" i="50" s="1"/>
  <c r="N131" i="53"/>
  <c r="O61" i="32"/>
  <c r="T61" i="32"/>
  <c r="O60" i="32"/>
  <c r="T60" i="32"/>
  <c r="T71" i="50"/>
  <c r="O71" i="50"/>
  <c r="AA129" i="53"/>
  <c r="AB129" i="53"/>
  <c r="AP67" i="50"/>
  <c r="AJ69" i="50"/>
  <c r="C69" i="50"/>
  <c r="S70" i="50"/>
  <c r="Z70" i="50" s="1"/>
  <c r="W69" i="50"/>
  <c r="X68" i="50"/>
  <c r="V69" i="50"/>
  <c r="AF114" i="69"/>
  <c r="Q114" i="69"/>
  <c r="O131" i="57"/>
  <c r="P131" i="57"/>
  <c r="AC112" i="69"/>
  <c r="AD112" i="69" s="1"/>
  <c r="AH68" i="50"/>
  <c r="AI68" i="50" s="1"/>
  <c r="AB113" i="69"/>
  <c r="AG113" i="69"/>
  <c r="O116" i="69"/>
  <c r="AO115" i="69"/>
  <c r="AK71" i="50"/>
  <c r="AE130" i="53"/>
  <c r="AF129" i="53"/>
  <c r="AK61" i="32"/>
  <c r="AK60" i="32"/>
  <c r="AM70" i="50"/>
  <c r="R130" i="53"/>
  <c r="X130" i="53" s="1"/>
  <c r="AL68" i="50"/>
  <c r="AY114" i="69"/>
  <c r="L131" i="57"/>
  <c r="AH130" i="53"/>
  <c r="AT130" i="53"/>
  <c r="AG130" i="53"/>
  <c r="N131" i="57"/>
  <c r="J131" i="53"/>
  <c r="AH114" i="69"/>
  <c r="Q130" i="53"/>
  <c r="AD130" i="53"/>
  <c r="AK130" i="52" a="1"/>
  <c r="AK130" i="52" s="1"/>
  <c r="B132" i="53" s="1"/>
  <c r="E131" i="53"/>
  <c r="H131" i="53"/>
  <c r="D131" i="53"/>
  <c r="L131" i="53"/>
  <c r="G131" i="53"/>
  <c r="C131" i="53"/>
  <c r="I131" i="53"/>
  <c r="F131" i="53"/>
  <c r="K131" i="53"/>
  <c r="P131" i="53"/>
  <c r="F71" i="50"/>
  <c r="U71" i="50" s="1"/>
  <c r="N71" i="50"/>
  <c r="H71" i="50"/>
  <c r="G71" i="50"/>
  <c r="A71" i="50"/>
  <c r="K71" i="50"/>
  <c r="I71" i="50"/>
  <c r="B71" i="50"/>
  <c r="R71" i="50" s="1"/>
  <c r="L71" i="50"/>
  <c r="M71" i="50"/>
  <c r="J71" i="50"/>
  <c r="E131" i="57"/>
  <c r="D131" i="57"/>
  <c r="C131" i="57"/>
  <c r="K131" i="57"/>
  <c r="G131" i="57"/>
  <c r="I131" i="57"/>
  <c r="H131" i="57"/>
  <c r="F131" i="57"/>
  <c r="J131" i="57"/>
  <c r="AN130" i="55" a="1"/>
  <c r="AN130" i="55" s="1"/>
  <c r="B132" i="57" s="1"/>
  <c r="C116" i="69"/>
  <c r="P116" i="69" s="1"/>
  <c r="R114" i="69"/>
  <c r="S114" i="69" s="1"/>
  <c r="Y114" i="69" s="1"/>
  <c r="AE114" i="69"/>
  <c r="AR116" i="67" a="1"/>
  <c r="AR116" i="67" s="1"/>
  <c r="B117" i="69"/>
  <c r="L117" i="69" s="1"/>
  <c r="D115" i="69"/>
  <c r="E115" i="69" s="1"/>
  <c r="F115" i="69" s="1"/>
  <c r="G115" i="69" s="1"/>
  <c r="H115" i="69" s="1"/>
  <c r="I115" i="69" s="1"/>
  <c r="J115" i="69" s="1"/>
  <c r="K115" i="69" s="1"/>
  <c r="M115" i="69" s="1"/>
  <c r="AL61" i="11" a="1"/>
  <c r="AL61" i="11" s="1"/>
  <c r="E62" i="32" s="1"/>
  <c r="AP71" i="59" a="1"/>
  <c r="AP71" i="59" s="1"/>
  <c r="E72" i="50" s="1"/>
  <c r="AD70" i="50" l="1"/>
  <c r="AG70" i="50" s="1"/>
  <c r="X129" i="57"/>
  <c r="AB129" i="57" s="1"/>
  <c r="AG131" i="57"/>
  <c r="M132" i="53"/>
  <c r="AC132" i="53" s="1"/>
  <c r="O132" i="53"/>
  <c r="AP116" i="69"/>
  <c r="N116" i="69"/>
  <c r="U116" i="69" s="1"/>
  <c r="AB128" i="57"/>
  <c r="AF128" i="57"/>
  <c r="Q130" i="57"/>
  <c r="T130" i="57" s="1"/>
  <c r="AJ130" i="57"/>
  <c r="AE130" i="57"/>
  <c r="AD130" i="57"/>
  <c r="R130" i="57"/>
  <c r="AC130" i="57"/>
  <c r="AQ130" i="57"/>
  <c r="M131" i="57"/>
  <c r="AK131" i="57" s="1"/>
  <c r="Q71" i="50"/>
  <c r="P71" i="50" s="1"/>
  <c r="N132" i="53"/>
  <c r="T62" i="32"/>
  <c r="O62" i="32"/>
  <c r="O72" i="50"/>
  <c r="T72" i="50"/>
  <c r="AA130" i="53"/>
  <c r="AB130" i="53"/>
  <c r="AP68" i="50"/>
  <c r="AJ70" i="50"/>
  <c r="C70" i="50"/>
  <c r="S71" i="50"/>
  <c r="Z71" i="50" s="1"/>
  <c r="W70" i="50"/>
  <c r="X69" i="50"/>
  <c r="V70" i="50"/>
  <c r="AF115" i="69"/>
  <c r="Q115" i="69"/>
  <c r="O132" i="57"/>
  <c r="P132" i="57"/>
  <c r="AC113" i="69"/>
  <c r="AD113" i="69" s="1"/>
  <c r="AH69" i="50"/>
  <c r="AI69" i="50" s="1"/>
  <c r="AB114" i="69"/>
  <c r="AG114" i="69"/>
  <c r="AO116" i="69"/>
  <c r="O117" i="69"/>
  <c r="AK72" i="50"/>
  <c r="AE131" i="53"/>
  <c r="AF130" i="53"/>
  <c r="AK62" i="32"/>
  <c r="AM71" i="50"/>
  <c r="R131" i="53"/>
  <c r="X131" i="53" s="1"/>
  <c r="AL69" i="50"/>
  <c r="AY115" i="69"/>
  <c r="L132" i="57"/>
  <c r="AG131" i="53"/>
  <c r="AH131" i="53"/>
  <c r="AT131" i="53"/>
  <c r="N132" i="57"/>
  <c r="AH115" i="69"/>
  <c r="AD131" i="53"/>
  <c r="Q131" i="53"/>
  <c r="AK131" i="52" a="1"/>
  <c r="AK131" i="52" s="1"/>
  <c r="B133" i="53" s="1"/>
  <c r="J132" i="53"/>
  <c r="E132" i="53"/>
  <c r="H132" i="53"/>
  <c r="D132" i="53"/>
  <c r="I132" i="53"/>
  <c r="P132" i="53"/>
  <c r="C132" i="53"/>
  <c r="G132" i="53"/>
  <c r="F132" i="53"/>
  <c r="L132" i="53"/>
  <c r="K132" i="53"/>
  <c r="M72" i="50"/>
  <c r="B72" i="50"/>
  <c r="R72" i="50" s="1"/>
  <c r="G72" i="50"/>
  <c r="N72" i="50"/>
  <c r="I72" i="50"/>
  <c r="F72" i="50"/>
  <c r="U72" i="50" s="1"/>
  <c r="L72" i="50"/>
  <c r="J72" i="50"/>
  <c r="A72" i="50"/>
  <c r="H72" i="50"/>
  <c r="K72" i="50"/>
  <c r="G132" i="57"/>
  <c r="E132" i="57"/>
  <c r="C132" i="57"/>
  <c r="I132" i="57"/>
  <c r="K132" i="57"/>
  <c r="J132" i="57"/>
  <c r="D132" i="57"/>
  <c r="H132" i="57"/>
  <c r="F132" i="57"/>
  <c r="AN131" i="55" a="1"/>
  <c r="AN131" i="55" s="1"/>
  <c r="B133" i="57" s="1"/>
  <c r="AR117" i="67" a="1"/>
  <c r="AR117" i="67" s="1"/>
  <c r="B118" i="69"/>
  <c r="L118" i="69" s="1"/>
  <c r="R115" i="69"/>
  <c r="S115" i="69" s="1"/>
  <c r="Y115" i="69" s="1"/>
  <c r="AE115" i="69"/>
  <c r="D116" i="69"/>
  <c r="E116" i="69" s="1"/>
  <c r="F116" i="69" s="1"/>
  <c r="G116" i="69" s="1"/>
  <c r="H116" i="69" s="1"/>
  <c r="I116" i="69" s="1"/>
  <c r="J116" i="69" s="1"/>
  <c r="K116" i="69" s="1"/>
  <c r="M116" i="69" s="1"/>
  <c r="C117" i="69"/>
  <c r="P117" i="69" s="1"/>
  <c r="AL62" i="11" a="1"/>
  <c r="AL62" i="11" s="1"/>
  <c r="AP72" i="59" a="1"/>
  <c r="AP72" i="59" s="1"/>
  <c r="E73" i="50" s="1"/>
  <c r="AD71" i="50" l="1"/>
  <c r="AG71" i="50" s="1"/>
  <c r="AG132" i="57"/>
  <c r="X130" i="57"/>
  <c r="AB130" i="57" s="1"/>
  <c r="M133" i="53"/>
  <c r="AC133" i="53" s="1"/>
  <c r="O133" i="53"/>
  <c r="AP117" i="69"/>
  <c r="N117" i="69"/>
  <c r="AA129" i="57"/>
  <c r="AF129" i="57"/>
  <c r="AQ131" i="57"/>
  <c r="AJ131" i="57"/>
  <c r="Q131" i="57"/>
  <c r="T131" i="57" s="1"/>
  <c r="AD131" i="57"/>
  <c r="R131" i="57"/>
  <c r="AC131" i="57"/>
  <c r="AE131" i="57"/>
  <c r="M132" i="57"/>
  <c r="AK132" i="57" s="1"/>
  <c r="Q72" i="50"/>
  <c r="P72" i="50" s="1"/>
  <c r="N133" i="53"/>
  <c r="O73" i="50"/>
  <c r="T73" i="50"/>
  <c r="AA131" i="53"/>
  <c r="AB131" i="53"/>
  <c r="AP69" i="50"/>
  <c r="AJ71" i="50"/>
  <c r="C71" i="50"/>
  <c r="S72" i="50"/>
  <c r="Z72" i="50" s="1"/>
  <c r="W71" i="50"/>
  <c r="X70" i="50"/>
  <c r="V71" i="50"/>
  <c r="AF116" i="69"/>
  <c r="Q116" i="69"/>
  <c r="O133" i="57"/>
  <c r="P133" i="57"/>
  <c r="AC114" i="69"/>
  <c r="AD114" i="69" s="1"/>
  <c r="AH70" i="50"/>
  <c r="AI70" i="50" s="1"/>
  <c r="AB115" i="69"/>
  <c r="AG115" i="69"/>
  <c r="O118" i="69"/>
  <c r="AO117" i="69"/>
  <c r="AK73" i="50"/>
  <c r="AE132" i="53"/>
  <c r="AF131" i="53"/>
  <c r="AM72" i="50"/>
  <c r="R132" i="53"/>
  <c r="X132" i="53" s="1"/>
  <c r="AL70" i="50"/>
  <c r="AY116" i="69"/>
  <c r="L133" i="57"/>
  <c r="AG132" i="53"/>
  <c r="AH132" i="53"/>
  <c r="AT132" i="53"/>
  <c r="N133" i="57"/>
  <c r="J133" i="53"/>
  <c r="AH116" i="69"/>
  <c r="AD132" i="53"/>
  <c r="K133" i="53"/>
  <c r="C133" i="53"/>
  <c r="D133" i="53"/>
  <c r="L133" i="53"/>
  <c r="E133" i="53"/>
  <c r="Q132" i="53"/>
  <c r="P133" i="53"/>
  <c r="I133" i="53"/>
  <c r="H133" i="53"/>
  <c r="AK132" i="52" a="1"/>
  <c r="AK132" i="52" s="1"/>
  <c r="B134" i="53" s="1"/>
  <c r="G133" i="53"/>
  <c r="F133" i="53"/>
  <c r="G73" i="50"/>
  <c r="A73" i="50"/>
  <c r="L73" i="50"/>
  <c r="H73" i="50"/>
  <c r="I73" i="50"/>
  <c r="K73" i="50"/>
  <c r="F73" i="50"/>
  <c r="U73" i="50" s="1"/>
  <c r="N73" i="50"/>
  <c r="J73" i="50"/>
  <c r="B73" i="50"/>
  <c r="R73" i="50" s="1"/>
  <c r="M73" i="50"/>
  <c r="G133" i="57"/>
  <c r="E133" i="57"/>
  <c r="D133" i="57"/>
  <c r="C133" i="57"/>
  <c r="H133" i="57"/>
  <c r="I133" i="57"/>
  <c r="K133" i="57"/>
  <c r="F133" i="57"/>
  <c r="J133" i="57"/>
  <c r="E63" i="32"/>
  <c r="AN132" i="55" a="1"/>
  <c r="AN132" i="55" s="1"/>
  <c r="B134" i="57" s="1"/>
  <c r="AR118" i="67" a="1"/>
  <c r="AR118" i="67" s="1"/>
  <c r="B119" i="69"/>
  <c r="L119" i="69" s="1"/>
  <c r="AE116" i="69"/>
  <c r="R116" i="69"/>
  <c r="S116" i="69" s="1"/>
  <c r="Y116" i="69" s="1"/>
  <c r="D117" i="69"/>
  <c r="E117" i="69" s="1"/>
  <c r="F117" i="69" s="1"/>
  <c r="G117" i="69" s="1"/>
  <c r="H117" i="69" s="1"/>
  <c r="I117" i="69" s="1"/>
  <c r="J117" i="69" s="1"/>
  <c r="K117" i="69" s="1"/>
  <c r="M117" i="69" s="1"/>
  <c r="U117" i="69"/>
  <c r="C118" i="69"/>
  <c r="P118" i="69" s="1"/>
  <c r="AL63" i="11" a="1"/>
  <c r="AL63" i="11" s="1"/>
  <c r="E64" i="32" s="1"/>
  <c r="AP73" i="59" a="1"/>
  <c r="AP73" i="59" s="1"/>
  <c r="E74" i="50" s="1"/>
  <c r="AD72" i="50" l="1"/>
  <c r="AG72" i="50" s="1"/>
  <c r="AG133" i="57"/>
  <c r="X131" i="57"/>
  <c r="AB131" i="57" s="1"/>
  <c r="M134" i="53"/>
  <c r="AC134" i="53" s="1"/>
  <c r="O134" i="53"/>
  <c r="AP118" i="69"/>
  <c r="N118" i="69"/>
  <c r="U118" i="69" s="1"/>
  <c r="AF130" i="57"/>
  <c r="AA130" i="57"/>
  <c r="AJ132" i="57"/>
  <c r="AE132" i="57"/>
  <c r="AD132" i="57"/>
  <c r="Q132" i="57"/>
  <c r="T132" i="57" s="1"/>
  <c r="AQ132" i="57"/>
  <c r="R132" i="57"/>
  <c r="AC132" i="57"/>
  <c r="M133" i="57"/>
  <c r="AK133" i="57" s="1"/>
  <c r="Q73" i="50"/>
  <c r="P73" i="50" s="1"/>
  <c r="N134" i="53"/>
  <c r="O64" i="32"/>
  <c r="T64" i="32"/>
  <c r="T63" i="32"/>
  <c r="O63" i="32"/>
  <c r="T74" i="50"/>
  <c r="O74" i="50"/>
  <c r="AA132" i="53"/>
  <c r="AB132" i="53"/>
  <c r="AP70" i="50"/>
  <c r="AJ72" i="50"/>
  <c r="C72" i="50"/>
  <c r="S73" i="50"/>
  <c r="Z73" i="50" s="1"/>
  <c r="W72" i="50"/>
  <c r="X71" i="50"/>
  <c r="V72" i="50"/>
  <c r="AF117" i="69"/>
  <c r="Q117" i="69"/>
  <c r="O134" i="57"/>
  <c r="P134" i="57"/>
  <c r="AC115" i="69"/>
  <c r="AD115" i="69" s="1"/>
  <c r="AH71" i="50"/>
  <c r="AI71" i="50" s="1"/>
  <c r="AB116" i="69"/>
  <c r="AG116" i="69"/>
  <c r="AO118" i="69"/>
  <c r="O119" i="69"/>
  <c r="AK74" i="50"/>
  <c r="AF132" i="53"/>
  <c r="AE133" i="53"/>
  <c r="AK64" i="32"/>
  <c r="AK63" i="32"/>
  <c r="AM73" i="50"/>
  <c r="R133" i="53"/>
  <c r="X133" i="53" s="1"/>
  <c r="AL71" i="50"/>
  <c r="AY117" i="69"/>
  <c r="L134" i="57"/>
  <c r="AG133" i="53"/>
  <c r="AH133" i="53"/>
  <c r="AT133" i="53"/>
  <c r="N134" i="57"/>
  <c r="L134" i="53"/>
  <c r="AH117" i="69"/>
  <c r="AD133" i="53"/>
  <c r="Q133" i="53"/>
  <c r="I134" i="53"/>
  <c r="P134" i="53"/>
  <c r="H134" i="53"/>
  <c r="K134" i="53"/>
  <c r="E134" i="53"/>
  <c r="C134" i="53"/>
  <c r="F134" i="53"/>
  <c r="AK133" i="52" a="1"/>
  <c r="AK133" i="52" s="1"/>
  <c r="B135" i="53" s="1"/>
  <c r="G134" i="53"/>
  <c r="J134" i="53"/>
  <c r="D134" i="53"/>
  <c r="I74" i="50"/>
  <c r="N74" i="50"/>
  <c r="J74" i="50"/>
  <c r="H74" i="50"/>
  <c r="G74" i="50"/>
  <c r="K74" i="50"/>
  <c r="M74" i="50"/>
  <c r="B74" i="50"/>
  <c r="R74" i="50" s="1"/>
  <c r="F74" i="50"/>
  <c r="U74" i="50" s="1"/>
  <c r="A74" i="50"/>
  <c r="L74" i="50"/>
  <c r="I134" i="57"/>
  <c r="G134" i="57"/>
  <c r="E134" i="57"/>
  <c r="C134" i="57"/>
  <c r="K134" i="57"/>
  <c r="F134" i="57"/>
  <c r="J134" i="57"/>
  <c r="D134" i="57"/>
  <c r="H134" i="57"/>
  <c r="AN133" i="55" a="1"/>
  <c r="AN133" i="55" s="1"/>
  <c r="B135" i="57" s="1"/>
  <c r="C119" i="69"/>
  <c r="P119" i="69" s="1"/>
  <c r="D118" i="69"/>
  <c r="E118" i="69" s="1"/>
  <c r="F118" i="69" s="1"/>
  <c r="G118" i="69" s="1"/>
  <c r="H118" i="69" s="1"/>
  <c r="I118" i="69" s="1"/>
  <c r="J118" i="69" s="1"/>
  <c r="K118" i="69" s="1"/>
  <c r="M118" i="69" s="1"/>
  <c r="AE117" i="69"/>
  <c r="R117" i="69"/>
  <c r="S117" i="69" s="1"/>
  <c r="Y117" i="69" s="1"/>
  <c r="AR119" i="67" a="1"/>
  <c r="AR119" i="67" s="1"/>
  <c r="B120" i="69"/>
  <c r="L120" i="69" s="1"/>
  <c r="AL64" i="11" a="1"/>
  <c r="AL64" i="11" s="1"/>
  <c r="AP74" i="59" a="1"/>
  <c r="AP74" i="59" s="1"/>
  <c r="E75" i="50" s="1"/>
  <c r="AD73" i="50" l="1"/>
  <c r="AG73" i="50" s="1"/>
  <c r="X132" i="57"/>
  <c r="AB132" i="57" s="1"/>
  <c r="AG134" i="57"/>
  <c r="M135" i="53"/>
  <c r="AC135" i="53" s="1"/>
  <c r="O135" i="53"/>
  <c r="AP119" i="69"/>
  <c r="N119" i="69"/>
  <c r="U119" i="69" s="1"/>
  <c r="AF131" i="57"/>
  <c r="AA131" i="57"/>
  <c r="Q133" i="57"/>
  <c r="T133" i="57" s="1"/>
  <c r="AJ133" i="57"/>
  <c r="AD133" i="57"/>
  <c r="R133" i="57"/>
  <c r="AE133" i="57"/>
  <c r="AC133" i="57"/>
  <c r="AQ133" i="57"/>
  <c r="M134" i="57"/>
  <c r="AK134" i="57" s="1"/>
  <c r="Q74" i="50"/>
  <c r="P74" i="50" s="1"/>
  <c r="N135" i="53"/>
  <c r="T75" i="50"/>
  <c r="O75" i="50"/>
  <c r="AA133" i="53"/>
  <c r="AB133" i="53"/>
  <c r="AP71" i="50"/>
  <c r="AJ73" i="50"/>
  <c r="C73" i="50"/>
  <c r="S74" i="50"/>
  <c r="Z74" i="50" s="1"/>
  <c r="W73" i="50"/>
  <c r="X72" i="50"/>
  <c r="V73" i="50"/>
  <c r="AF118" i="69"/>
  <c r="Q118" i="69"/>
  <c r="O135" i="57"/>
  <c r="P135" i="57"/>
  <c r="AC116" i="69"/>
  <c r="AD116" i="69" s="1"/>
  <c r="AH72" i="50"/>
  <c r="AI72" i="50" s="1"/>
  <c r="AB117" i="69"/>
  <c r="AG117" i="69"/>
  <c r="O120" i="69"/>
  <c r="AO119" i="69"/>
  <c r="AK75" i="50"/>
  <c r="AE134" i="53"/>
  <c r="AF133" i="53"/>
  <c r="AM74" i="50"/>
  <c r="R134" i="53"/>
  <c r="X134" i="53" s="1"/>
  <c r="AL72" i="50"/>
  <c r="AY118" i="69"/>
  <c r="L135" i="57"/>
  <c r="AH134" i="53"/>
  <c r="AT134" i="53"/>
  <c r="AG134" i="53"/>
  <c r="N135" i="57"/>
  <c r="P135" i="53"/>
  <c r="AH118" i="69"/>
  <c r="AD134" i="53"/>
  <c r="Q134" i="53"/>
  <c r="F135" i="53"/>
  <c r="K135" i="53"/>
  <c r="I135" i="53"/>
  <c r="AK134" i="52" a="1"/>
  <c r="AK134" i="52" s="1"/>
  <c r="B136" i="53" s="1"/>
  <c r="D135" i="53"/>
  <c r="L135" i="53"/>
  <c r="E135" i="53"/>
  <c r="J135" i="53"/>
  <c r="G135" i="53"/>
  <c r="C135" i="53"/>
  <c r="H135" i="53"/>
  <c r="I75" i="50"/>
  <c r="H75" i="50"/>
  <c r="M75" i="50"/>
  <c r="K75" i="50"/>
  <c r="A75" i="50"/>
  <c r="L75" i="50"/>
  <c r="B75" i="50"/>
  <c r="R75" i="50" s="1"/>
  <c r="G75" i="50"/>
  <c r="J75" i="50"/>
  <c r="N75" i="50"/>
  <c r="F75" i="50"/>
  <c r="U75" i="50" s="1"/>
  <c r="H135" i="57"/>
  <c r="G135" i="57"/>
  <c r="E135" i="57"/>
  <c r="D135" i="57"/>
  <c r="C135" i="57"/>
  <c r="I135" i="57"/>
  <c r="K135" i="57"/>
  <c r="F135" i="57"/>
  <c r="J135" i="57"/>
  <c r="E65" i="32"/>
  <c r="AN134" i="55" a="1"/>
  <c r="AN134" i="55" s="1"/>
  <c r="B136" i="57" s="1"/>
  <c r="AR120" i="67" a="1"/>
  <c r="AR120" i="67" s="1"/>
  <c r="B121" i="69"/>
  <c r="L121" i="69" s="1"/>
  <c r="C120" i="69"/>
  <c r="P120" i="69" s="1"/>
  <c r="R118" i="69"/>
  <c r="S118" i="69" s="1"/>
  <c r="Y118" i="69" s="1"/>
  <c r="AE118" i="69"/>
  <c r="D119" i="69"/>
  <c r="E119" i="69" s="1"/>
  <c r="F119" i="69" s="1"/>
  <c r="G119" i="69" s="1"/>
  <c r="H119" i="69" s="1"/>
  <c r="I119" i="69" s="1"/>
  <c r="J119" i="69" s="1"/>
  <c r="K119" i="69" s="1"/>
  <c r="M119" i="69" s="1"/>
  <c r="AL65" i="11" a="1"/>
  <c r="AL65" i="11" s="1"/>
  <c r="AP75" i="59" a="1"/>
  <c r="AP75" i="59" s="1"/>
  <c r="E76" i="50" s="1"/>
  <c r="AD74" i="50" l="1"/>
  <c r="AG74" i="50" s="1"/>
  <c r="X133" i="57"/>
  <c r="AB133" i="57" s="1"/>
  <c r="AG135" i="57"/>
  <c r="AJ134" i="57"/>
  <c r="M136" i="53"/>
  <c r="AC136" i="53" s="1"/>
  <c r="O136" i="53"/>
  <c r="AP120" i="69"/>
  <c r="N120" i="69"/>
  <c r="U120" i="69" s="1"/>
  <c r="Q134" i="57"/>
  <c r="T134" i="57" s="1"/>
  <c r="AE134" i="57"/>
  <c r="AF132" i="57"/>
  <c r="AA132" i="57"/>
  <c r="AD134" i="57"/>
  <c r="R134" i="57"/>
  <c r="AC134" i="57"/>
  <c r="AQ134" i="57"/>
  <c r="M135" i="57"/>
  <c r="AJ135" i="57" s="1"/>
  <c r="Q75" i="50"/>
  <c r="P75" i="50" s="1"/>
  <c r="N136" i="53"/>
  <c r="O65" i="32"/>
  <c r="T65" i="32"/>
  <c r="O76" i="50"/>
  <c r="T76" i="50"/>
  <c r="AA134" i="53"/>
  <c r="AB134" i="53"/>
  <c r="AP72" i="50"/>
  <c r="AJ74" i="50"/>
  <c r="C74" i="50"/>
  <c r="S75" i="50"/>
  <c r="Z75" i="50" s="1"/>
  <c r="W74" i="50"/>
  <c r="X73" i="50"/>
  <c r="V74" i="50"/>
  <c r="AF119" i="69"/>
  <c r="Q119" i="69"/>
  <c r="O136" i="57"/>
  <c r="P136" i="57"/>
  <c r="AC117" i="69"/>
  <c r="AD117" i="69" s="1"/>
  <c r="AH73" i="50"/>
  <c r="AI73" i="50" s="1"/>
  <c r="AB118" i="69"/>
  <c r="AG118" i="69"/>
  <c r="AO120" i="69"/>
  <c r="O121" i="69"/>
  <c r="AK76" i="50"/>
  <c r="AF134" i="53"/>
  <c r="AE135" i="53"/>
  <c r="AK65" i="32"/>
  <c r="AM75" i="50"/>
  <c r="R135" i="53"/>
  <c r="X135" i="53" s="1"/>
  <c r="AL73" i="50"/>
  <c r="AY119" i="69"/>
  <c r="L136" i="57"/>
  <c r="AG135" i="53"/>
  <c r="AH135" i="53"/>
  <c r="AT135" i="53"/>
  <c r="N136" i="57"/>
  <c r="J136" i="53"/>
  <c r="AH119" i="69"/>
  <c r="Q135" i="53"/>
  <c r="AD135" i="53"/>
  <c r="AK135" i="52" a="1"/>
  <c r="AK135" i="52" s="1"/>
  <c r="B137" i="53" s="1"/>
  <c r="P136" i="53"/>
  <c r="D136" i="53"/>
  <c r="F136" i="53"/>
  <c r="G136" i="53"/>
  <c r="E136" i="53"/>
  <c r="L136" i="53"/>
  <c r="C136" i="53"/>
  <c r="K136" i="53"/>
  <c r="I136" i="53"/>
  <c r="H136" i="53"/>
  <c r="F76" i="50"/>
  <c r="U76" i="50" s="1"/>
  <c r="M76" i="50"/>
  <c r="I76" i="50"/>
  <c r="K76" i="50"/>
  <c r="B76" i="50"/>
  <c r="R76" i="50" s="1"/>
  <c r="J76" i="50"/>
  <c r="G76" i="50"/>
  <c r="H76" i="50"/>
  <c r="N76" i="50"/>
  <c r="A76" i="50"/>
  <c r="L76" i="50"/>
  <c r="K136" i="57"/>
  <c r="I136" i="57"/>
  <c r="G136" i="57"/>
  <c r="E136" i="57"/>
  <c r="C136" i="57"/>
  <c r="F136" i="57"/>
  <c r="J136" i="57"/>
  <c r="H136" i="57"/>
  <c r="D136" i="57"/>
  <c r="E66" i="32"/>
  <c r="AN135" i="55" a="1"/>
  <c r="AN135" i="55" s="1"/>
  <c r="B137" i="57" s="1"/>
  <c r="D120" i="69"/>
  <c r="E120" i="69" s="1"/>
  <c r="F120" i="69" s="1"/>
  <c r="G120" i="69" s="1"/>
  <c r="H120" i="69" s="1"/>
  <c r="I120" i="69" s="1"/>
  <c r="J120" i="69" s="1"/>
  <c r="K120" i="69" s="1"/>
  <c r="M120" i="69" s="1"/>
  <c r="AE119" i="69"/>
  <c r="R119" i="69"/>
  <c r="S119" i="69" s="1"/>
  <c r="C121" i="69"/>
  <c r="P121" i="69" s="1"/>
  <c r="AR121" i="67" a="1"/>
  <c r="AR121" i="67" s="1"/>
  <c r="B122" i="69"/>
  <c r="L122" i="69" s="1"/>
  <c r="AL66" i="11" a="1"/>
  <c r="AL66" i="11" s="1"/>
  <c r="E67" i="32" s="1"/>
  <c r="AP76" i="59" a="1"/>
  <c r="AP76" i="59" s="1"/>
  <c r="E77" i="50" s="1"/>
  <c r="X134" i="57" l="1"/>
  <c r="AB134" i="57" s="1"/>
  <c r="Y119" i="69"/>
  <c r="AB119" i="69" s="1"/>
  <c r="AC119" i="69" s="1"/>
  <c r="AD119" i="69" s="1"/>
  <c r="AD75" i="50"/>
  <c r="AG75" i="50" s="1"/>
  <c r="AG136" i="57"/>
  <c r="AE135" i="57"/>
  <c r="M137" i="53"/>
  <c r="AC137" i="53" s="1"/>
  <c r="O137" i="53"/>
  <c r="AP121" i="69"/>
  <c r="N121" i="69"/>
  <c r="U121" i="69" s="1"/>
  <c r="AA133" i="57"/>
  <c r="R135" i="57"/>
  <c r="AC135" i="57"/>
  <c r="AF133" i="57"/>
  <c r="Q135" i="57"/>
  <c r="T135" i="57" s="1"/>
  <c r="AK135" i="57"/>
  <c r="AQ135" i="57"/>
  <c r="AD135" i="57"/>
  <c r="M136" i="57"/>
  <c r="AK136" i="57" s="1"/>
  <c r="Q76" i="50"/>
  <c r="P76" i="50" s="1"/>
  <c r="N137" i="53"/>
  <c r="T67" i="32"/>
  <c r="O67" i="32"/>
  <c r="T66" i="32"/>
  <c r="O66" i="32"/>
  <c r="O77" i="50"/>
  <c r="T77" i="50"/>
  <c r="AA135" i="53"/>
  <c r="AB135" i="53"/>
  <c r="AP73" i="50"/>
  <c r="AJ75" i="50"/>
  <c r="C75" i="50"/>
  <c r="S76" i="50"/>
  <c r="Z76" i="50" s="1"/>
  <c r="W75" i="50"/>
  <c r="X74" i="50"/>
  <c r="V75" i="50"/>
  <c r="AF120" i="69"/>
  <c r="Q120" i="69"/>
  <c r="O137" i="57"/>
  <c r="P137" i="57"/>
  <c r="AC118" i="69"/>
  <c r="AD118" i="69" s="1"/>
  <c r="AH74" i="50"/>
  <c r="AI74" i="50" s="1"/>
  <c r="O122" i="69"/>
  <c r="AO121" i="69"/>
  <c r="AK77" i="50"/>
  <c r="AF135" i="53"/>
  <c r="AE136" i="53"/>
  <c r="AK67" i="32"/>
  <c r="AK66" i="32"/>
  <c r="AM76" i="50"/>
  <c r="R136" i="53"/>
  <c r="X136" i="53" s="1"/>
  <c r="AL74" i="50"/>
  <c r="AY120" i="69"/>
  <c r="L137" i="57"/>
  <c r="Q136" i="53"/>
  <c r="AH136" i="53"/>
  <c r="AT136" i="53"/>
  <c r="AG136" i="53"/>
  <c r="N137" i="57"/>
  <c r="K137" i="53"/>
  <c r="AH120" i="69"/>
  <c r="AD136" i="53"/>
  <c r="G137" i="53"/>
  <c r="C137" i="53"/>
  <c r="P137" i="53"/>
  <c r="D137" i="53"/>
  <c r="I137" i="53"/>
  <c r="E137" i="53"/>
  <c r="AK136" i="52" a="1"/>
  <c r="AK136" i="52" s="1"/>
  <c r="B138" i="53" s="1"/>
  <c r="F137" i="53"/>
  <c r="L137" i="53"/>
  <c r="H137" i="53"/>
  <c r="J137" i="53"/>
  <c r="G77" i="50"/>
  <c r="M77" i="50"/>
  <c r="K77" i="50"/>
  <c r="F77" i="50"/>
  <c r="U77" i="50" s="1"/>
  <c r="H77" i="50"/>
  <c r="J77" i="50"/>
  <c r="I77" i="50"/>
  <c r="L77" i="50"/>
  <c r="B77" i="50"/>
  <c r="R77" i="50" s="1"/>
  <c r="A77" i="50"/>
  <c r="N77" i="50"/>
  <c r="I137" i="57"/>
  <c r="H137" i="57"/>
  <c r="G137" i="57"/>
  <c r="E137" i="57"/>
  <c r="D137" i="57"/>
  <c r="K137" i="57"/>
  <c r="C137" i="57"/>
  <c r="F137" i="57"/>
  <c r="J137" i="57"/>
  <c r="AN136" i="55" a="1"/>
  <c r="AN136" i="55" s="1"/>
  <c r="B138" i="57" s="1"/>
  <c r="AR122" i="67" a="1"/>
  <c r="AR122" i="67" s="1"/>
  <c r="B123" i="69"/>
  <c r="L123" i="69" s="1"/>
  <c r="R120" i="69"/>
  <c r="S120" i="69" s="1"/>
  <c r="Y120" i="69" s="1"/>
  <c r="AE120" i="69"/>
  <c r="C122" i="69"/>
  <c r="P122" i="69" s="1"/>
  <c r="D121" i="69"/>
  <c r="E121" i="69" s="1"/>
  <c r="F121" i="69" s="1"/>
  <c r="G121" i="69" s="1"/>
  <c r="H121" i="69" s="1"/>
  <c r="I121" i="69" s="1"/>
  <c r="J121" i="69" s="1"/>
  <c r="K121" i="69" s="1"/>
  <c r="M121" i="69" s="1"/>
  <c r="AL67" i="11" a="1"/>
  <c r="AL67" i="11" s="1"/>
  <c r="E68" i="32" s="1"/>
  <c r="AP77" i="59" a="1"/>
  <c r="AP77" i="59" s="1"/>
  <c r="E78" i="50" s="1"/>
  <c r="X135" i="57" l="1"/>
  <c r="AA135" i="57" s="1"/>
  <c r="AD76" i="50"/>
  <c r="AG76" i="50" s="1"/>
  <c r="AG119" i="69"/>
  <c r="AB120" i="69"/>
  <c r="AC120" i="69" s="1"/>
  <c r="AD120" i="69" s="1"/>
  <c r="AG137" i="57"/>
  <c r="AF134" i="57"/>
  <c r="M138" i="53"/>
  <c r="AC138" i="53" s="1"/>
  <c r="O138" i="53"/>
  <c r="AP122" i="69"/>
  <c r="N122" i="69"/>
  <c r="U122" i="69" s="1"/>
  <c r="AA134" i="57"/>
  <c r="AJ136" i="57"/>
  <c r="R136" i="57"/>
  <c r="Q136" i="57"/>
  <c r="T136" i="57" s="1"/>
  <c r="AE136" i="57"/>
  <c r="AC136" i="57"/>
  <c r="AD136" i="57"/>
  <c r="AQ136" i="57"/>
  <c r="M137" i="57"/>
  <c r="AQ137" i="57" s="1"/>
  <c r="Q77" i="50"/>
  <c r="P77" i="50" s="1"/>
  <c r="N138" i="53"/>
  <c r="O68" i="32"/>
  <c r="T68" i="32"/>
  <c r="T78" i="50"/>
  <c r="O78" i="50"/>
  <c r="AA136" i="53"/>
  <c r="AB136" i="53"/>
  <c r="AP74" i="50"/>
  <c r="C76" i="50"/>
  <c r="AJ76" i="50"/>
  <c r="S77" i="50"/>
  <c r="Z77" i="50" s="1"/>
  <c r="W76" i="50"/>
  <c r="X75" i="50"/>
  <c r="V76" i="50"/>
  <c r="AF121" i="69"/>
  <c r="Q121" i="69"/>
  <c r="O138" i="57"/>
  <c r="P138" i="57"/>
  <c r="AH75" i="50"/>
  <c r="AI75" i="50" s="1"/>
  <c r="AG120" i="69"/>
  <c r="O123" i="69"/>
  <c r="AO122" i="69"/>
  <c r="AK78" i="50"/>
  <c r="AE137" i="53"/>
  <c r="AF136" i="53"/>
  <c r="AK68" i="32"/>
  <c r="AM77" i="50"/>
  <c r="R137" i="53"/>
  <c r="X137" i="53" s="1"/>
  <c r="AL75" i="50"/>
  <c r="AY121" i="69"/>
  <c r="L138" i="57"/>
  <c r="AH137" i="53"/>
  <c r="AT137" i="53"/>
  <c r="AG137" i="53"/>
  <c r="N138" i="57"/>
  <c r="I138" i="53"/>
  <c r="AH121" i="69"/>
  <c r="Q137" i="53"/>
  <c r="AD137" i="53"/>
  <c r="AK137" i="52" a="1"/>
  <c r="AK137" i="52" s="1"/>
  <c r="B139" i="53" s="1"/>
  <c r="G138" i="53"/>
  <c r="J138" i="53"/>
  <c r="P138" i="53"/>
  <c r="K138" i="53"/>
  <c r="H138" i="53"/>
  <c r="F138" i="53"/>
  <c r="L138" i="53"/>
  <c r="C138" i="53"/>
  <c r="D138" i="53"/>
  <c r="E138" i="53"/>
  <c r="F78" i="50"/>
  <c r="U78" i="50" s="1"/>
  <c r="A78" i="50"/>
  <c r="K78" i="50"/>
  <c r="H78" i="50"/>
  <c r="L78" i="50"/>
  <c r="M78" i="50"/>
  <c r="B78" i="50"/>
  <c r="R78" i="50" s="1"/>
  <c r="G78" i="50"/>
  <c r="N78" i="50"/>
  <c r="I78" i="50"/>
  <c r="J78" i="50"/>
  <c r="K138" i="57"/>
  <c r="I138" i="57"/>
  <c r="G138" i="57"/>
  <c r="E138" i="57"/>
  <c r="C138" i="57"/>
  <c r="F138" i="57"/>
  <c r="J138" i="57"/>
  <c r="D138" i="57"/>
  <c r="H138" i="57"/>
  <c r="AN137" i="55" a="1"/>
  <c r="AN137" i="55" s="1"/>
  <c r="B139" i="57" s="1"/>
  <c r="D122" i="69"/>
  <c r="E122" i="69" s="1"/>
  <c r="F122" i="69" s="1"/>
  <c r="G122" i="69" s="1"/>
  <c r="H122" i="69" s="1"/>
  <c r="I122" i="69" s="1"/>
  <c r="J122" i="69" s="1"/>
  <c r="K122" i="69" s="1"/>
  <c r="M122" i="69" s="1"/>
  <c r="C123" i="69"/>
  <c r="P123" i="69" s="1"/>
  <c r="AE121" i="69"/>
  <c r="R121" i="69"/>
  <c r="S121" i="69" s="1"/>
  <c r="Y121" i="69" s="1"/>
  <c r="AR123" i="67" a="1"/>
  <c r="AR123" i="67" s="1"/>
  <c r="B124" i="69"/>
  <c r="L124" i="69" s="1"/>
  <c r="AL68" i="11" a="1"/>
  <c r="AL68" i="11" s="1"/>
  <c r="AP78" i="59" a="1"/>
  <c r="AP78" i="59" s="1"/>
  <c r="E79" i="50" s="1"/>
  <c r="AD77" i="50" l="1"/>
  <c r="AG77" i="50" s="1"/>
  <c r="X136" i="57"/>
  <c r="AB136" i="57" s="1"/>
  <c r="AG138" i="57"/>
  <c r="M139" i="53"/>
  <c r="AC139" i="53" s="1"/>
  <c r="O139" i="53"/>
  <c r="AP123" i="69"/>
  <c r="N123" i="69"/>
  <c r="U123" i="69" s="1"/>
  <c r="AB135" i="57"/>
  <c r="AF135" i="57"/>
  <c r="Q137" i="57"/>
  <c r="T137" i="57" s="1"/>
  <c r="AJ137" i="57"/>
  <c r="AD137" i="57"/>
  <c r="R137" i="57"/>
  <c r="AE137" i="57"/>
  <c r="AC137" i="57"/>
  <c r="AK137" i="57"/>
  <c r="M138" i="57"/>
  <c r="AJ138" i="57" s="1"/>
  <c r="Q78" i="50"/>
  <c r="P78" i="50" s="1"/>
  <c r="N139" i="53"/>
  <c r="T79" i="50"/>
  <c r="O79" i="50"/>
  <c r="AA137" i="53"/>
  <c r="AB137" i="53"/>
  <c r="AP75" i="50"/>
  <c r="AJ77" i="50"/>
  <c r="C77" i="50"/>
  <c r="S78" i="50"/>
  <c r="Z78" i="50" s="1"/>
  <c r="W77" i="50"/>
  <c r="X76" i="50"/>
  <c r="V77" i="50"/>
  <c r="AF122" i="69"/>
  <c r="Q122" i="69"/>
  <c r="O139" i="57"/>
  <c r="P139" i="57"/>
  <c r="AH76" i="50"/>
  <c r="AI76" i="50" s="1"/>
  <c r="AB121" i="69"/>
  <c r="AG121" i="69"/>
  <c r="AO123" i="69"/>
  <c r="O124" i="69"/>
  <c r="AK79" i="50"/>
  <c r="AE138" i="53"/>
  <c r="AF137" i="53"/>
  <c r="AM78" i="50"/>
  <c r="R138" i="53"/>
  <c r="X138" i="53" s="1"/>
  <c r="AL76" i="50"/>
  <c r="AY122" i="69"/>
  <c r="L139" i="57"/>
  <c r="AH138" i="53"/>
  <c r="AT138" i="53"/>
  <c r="AG138" i="53"/>
  <c r="N139" i="57"/>
  <c r="AH122" i="69"/>
  <c r="AD138" i="53"/>
  <c r="Q138" i="53"/>
  <c r="AK138" i="52" a="1"/>
  <c r="AK138" i="52" s="1"/>
  <c r="B140" i="53" s="1"/>
  <c r="J139" i="53"/>
  <c r="K139" i="53"/>
  <c r="I139" i="53"/>
  <c r="L139" i="53"/>
  <c r="E139" i="53"/>
  <c r="G139" i="53"/>
  <c r="C139" i="53"/>
  <c r="H139" i="53"/>
  <c r="F139" i="53"/>
  <c r="D139" i="53"/>
  <c r="P139" i="53"/>
  <c r="A79" i="50"/>
  <c r="M79" i="50"/>
  <c r="B79" i="50"/>
  <c r="R79" i="50" s="1"/>
  <c r="L79" i="50"/>
  <c r="J79" i="50"/>
  <c r="N79" i="50"/>
  <c r="F79" i="50"/>
  <c r="U79" i="50" s="1"/>
  <c r="I79" i="50"/>
  <c r="G79" i="50"/>
  <c r="K79" i="50"/>
  <c r="H79" i="50"/>
  <c r="K139" i="57"/>
  <c r="I139" i="57"/>
  <c r="H139" i="57"/>
  <c r="G139" i="57"/>
  <c r="E139" i="57"/>
  <c r="C139" i="57"/>
  <c r="D139" i="57"/>
  <c r="J139" i="57"/>
  <c r="F139" i="57"/>
  <c r="E69" i="32"/>
  <c r="AN138" i="55" a="1"/>
  <c r="AN138" i="55" s="1"/>
  <c r="B140" i="57" s="1"/>
  <c r="AR124" i="67" a="1"/>
  <c r="AR124" i="67" s="1"/>
  <c r="B125" i="69"/>
  <c r="L125" i="69" s="1"/>
  <c r="C124" i="69"/>
  <c r="P124" i="69" s="1"/>
  <c r="D123" i="69"/>
  <c r="E123" i="69" s="1"/>
  <c r="F123" i="69" s="1"/>
  <c r="G123" i="69" s="1"/>
  <c r="H123" i="69" s="1"/>
  <c r="I123" i="69" s="1"/>
  <c r="J123" i="69" s="1"/>
  <c r="K123" i="69" s="1"/>
  <c r="M123" i="69" s="1"/>
  <c r="R122" i="69"/>
  <c r="S122" i="69" s="1"/>
  <c r="Y122" i="69" s="1"/>
  <c r="AE122" i="69"/>
  <c r="AL69" i="11" a="1"/>
  <c r="AL69" i="11" s="1"/>
  <c r="E70" i="32" s="1"/>
  <c r="AP79" i="59" a="1"/>
  <c r="AP79" i="59" s="1"/>
  <c r="E80" i="50" s="1"/>
  <c r="AD78" i="50" l="1"/>
  <c r="AG78" i="50" s="1"/>
  <c r="X137" i="57"/>
  <c r="AB137" i="57" s="1"/>
  <c r="AG139" i="57"/>
  <c r="AA136" i="57"/>
  <c r="M140" i="53"/>
  <c r="AC140" i="53" s="1"/>
  <c r="O140" i="53"/>
  <c r="AP124" i="69"/>
  <c r="N124" i="69"/>
  <c r="U124" i="69" s="1"/>
  <c r="AF136" i="57"/>
  <c r="R138" i="57"/>
  <c r="AC138" i="57"/>
  <c r="AD138" i="57"/>
  <c r="AE138" i="57"/>
  <c r="AK138" i="57"/>
  <c r="Q138" i="57"/>
  <c r="T138" i="57" s="1"/>
  <c r="AQ138" i="57"/>
  <c r="M139" i="57"/>
  <c r="AK139" i="57" s="1"/>
  <c r="Q79" i="50"/>
  <c r="P79" i="50" s="1"/>
  <c r="N140" i="53"/>
  <c r="T70" i="32"/>
  <c r="O70" i="32"/>
  <c r="O69" i="32"/>
  <c r="T69" i="32"/>
  <c r="O80" i="50"/>
  <c r="T80" i="50"/>
  <c r="AA138" i="53"/>
  <c r="AB138" i="53"/>
  <c r="AP76" i="50"/>
  <c r="AJ78" i="50"/>
  <c r="C78" i="50"/>
  <c r="S79" i="50"/>
  <c r="Z79" i="50" s="1"/>
  <c r="W78" i="50"/>
  <c r="X77" i="50"/>
  <c r="V78" i="50"/>
  <c r="AF123" i="69"/>
  <c r="Q123" i="69"/>
  <c r="O140" i="57"/>
  <c r="P140" i="57"/>
  <c r="AC121" i="69"/>
  <c r="AD121" i="69" s="1"/>
  <c r="AH77" i="50"/>
  <c r="AI77" i="50" s="1"/>
  <c r="AB122" i="69"/>
  <c r="AG122" i="69"/>
  <c r="O125" i="69"/>
  <c r="AO124" i="69"/>
  <c r="AK80" i="50"/>
  <c r="AE139" i="53"/>
  <c r="AF138" i="53"/>
  <c r="AK70" i="32"/>
  <c r="AK69" i="32"/>
  <c r="AM79" i="50"/>
  <c r="R139" i="53"/>
  <c r="X139" i="53" s="1"/>
  <c r="AL77" i="50"/>
  <c r="AY123" i="69"/>
  <c r="L140" i="57"/>
  <c r="AG139" i="53"/>
  <c r="AH139" i="53"/>
  <c r="AT139" i="53"/>
  <c r="N140" i="57"/>
  <c r="AH123" i="69"/>
  <c r="Q139" i="53"/>
  <c r="AD139" i="53"/>
  <c r="AK139" i="52" a="1"/>
  <c r="AK139" i="52" s="1"/>
  <c r="B141" i="53" s="1"/>
  <c r="H140" i="53"/>
  <c r="G140" i="53"/>
  <c r="I140" i="53"/>
  <c r="F140" i="53"/>
  <c r="P140" i="53"/>
  <c r="K140" i="53"/>
  <c r="E140" i="53"/>
  <c r="D140" i="53"/>
  <c r="C140" i="53"/>
  <c r="L140" i="53"/>
  <c r="J140" i="53"/>
  <c r="M80" i="50"/>
  <c r="A80" i="50"/>
  <c r="N80" i="50"/>
  <c r="G80" i="50"/>
  <c r="I80" i="50"/>
  <c r="J80" i="50"/>
  <c r="K80" i="50"/>
  <c r="F80" i="50"/>
  <c r="U80" i="50" s="1"/>
  <c r="L80" i="50"/>
  <c r="H80" i="50"/>
  <c r="B80" i="50"/>
  <c r="R80" i="50" s="1"/>
  <c r="K140" i="57"/>
  <c r="I140" i="57"/>
  <c r="G140" i="57"/>
  <c r="E140" i="57"/>
  <c r="C140" i="57"/>
  <c r="F140" i="57"/>
  <c r="J140" i="57"/>
  <c r="H140" i="57"/>
  <c r="D140" i="57"/>
  <c r="AN139" i="55" a="1"/>
  <c r="AN139" i="55" s="1"/>
  <c r="B141" i="57" s="1"/>
  <c r="R123" i="69"/>
  <c r="S123" i="69" s="1"/>
  <c r="Y123" i="69" s="1"/>
  <c r="AE123" i="69"/>
  <c r="C125" i="69"/>
  <c r="P125" i="69" s="1"/>
  <c r="D124" i="69"/>
  <c r="E124" i="69" s="1"/>
  <c r="F124" i="69" s="1"/>
  <c r="G124" i="69" s="1"/>
  <c r="H124" i="69" s="1"/>
  <c r="I124" i="69" s="1"/>
  <c r="J124" i="69" s="1"/>
  <c r="K124" i="69" s="1"/>
  <c r="M124" i="69" s="1"/>
  <c r="AR125" i="67" a="1"/>
  <c r="AR125" i="67" s="1"/>
  <c r="B126" i="69"/>
  <c r="L126" i="69" s="1"/>
  <c r="AL70" i="11" a="1"/>
  <c r="AL70" i="11" s="1"/>
  <c r="E71" i="32" s="1"/>
  <c r="AP80" i="59" a="1"/>
  <c r="AP80" i="59" s="1"/>
  <c r="E81" i="50" s="1"/>
  <c r="X138" i="57" l="1"/>
  <c r="AB138" i="57" s="1"/>
  <c r="AD79" i="50"/>
  <c r="AG79" i="50" s="1"/>
  <c r="AG140" i="57"/>
  <c r="M141" i="53"/>
  <c r="AC141" i="53" s="1"/>
  <c r="O141" i="53"/>
  <c r="AP125" i="69"/>
  <c r="N125" i="69"/>
  <c r="U125" i="69" s="1"/>
  <c r="Q139" i="57"/>
  <c r="T139" i="57" s="1"/>
  <c r="AF137" i="57"/>
  <c r="AA137" i="57"/>
  <c r="AJ139" i="57"/>
  <c r="R139" i="57"/>
  <c r="AC139" i="57"/>
  <c r="AD139" i="57"/>
  <c r="AE139" i="57"/>
  <c r="AQ139" i="57"/>
  <c r="M140" i="57"/>
  <c r="AK140" i="57" s="1"/>
  <c r="Q80" i="50"/>
  <c r="P80" i="50" s="1"/>
  <c r="N141" i="53"/>
  <c r="T71" i="32"/>
  <c r="O71" i="32"/>
  <c r="O81" i="50"/>
  <c r="T81" i="50"/>
  <c r="AA139" i="53"/>
  <c r="AB139" i="53"/>
  <c r="AP77" i="50"/>
  <c r="AJ79" i="50"/>
  <c r="C79" i="50"/>
  <c r="S80" i="50"/>
  <c r="Z80" i="50" s="1"/>
  <c r="W79" i="50"/>
  <c r="X78" i="50"/>
  <c r="V79" i="50"/>
  <c r="AF124" i="69"/>
  <c r="Q124" i="69"/>
  <c r="O141" i="57"/>
  <c r="P141" i="57"/>
  <c r="AC122" i="69"/>
  <c r="AD122" i="69" s="1"/>
  <c r="AH78" i="50"/>
  <c r="AI78" i="50" s="1"/>
  <c r="AB123" i="69"/>
  <c r="AG123" i="69"/>
  <c r="AO125" i="69"/>
  <c r="O126" i="69"/>
  <c r="AK81" i="50"/>
  <c r="AF139" i="53"/>
  <c r="AE140" i="53"/>
  <c r="AK71" i="32"/>
  <c r="AM80" i="50"/>
  <c r="R140" i="53"/>
  <c r="X140" i="53" s="1"/>
  <c r="AL78" i="50"/>
  <c r="AY124" i="69"/>
  <c r="L141" i="57"/>
  <c r="AH140" i="53"/>
  <c r="AT140" i="53"/>
  <c r="AG140" i="53"/>
  <c r="N141" i="57"/>
  <c r="AH124" i="69"/>
  <c r="Q140" i="53"/>
  <c r="AD140" i="53"/>
  <c r="J141" i="53"/>
  <c r="D141" i="53"/>
  <c r="G141" i="53"/>
  <c r="C141" i="53"/>
  <c r="H141" i="53"/>
  <c r="K141" i="53"/>
  <c r="F141" i="53"/>
  <c r="I141" i="53"/>
  <c r="L141" i="53"/>
  <c r="AK140" i="52" a="1"/>
  <c r="AK140" i="52" s="1"/>
  <c r="B142" i="53" s="1"/>
  <c r="E141" i="53"/>
  <c r="P141" i="53"/>
  <c r="F81" i="50"/>
  <c r="U81" i="50" s="1"/>
  <c r="B81" i="50"/>
  <c r="R81" i="50" s="1"/>
  <c r="H81" i="50"/>
  <c r="I81" i="50"/>
  <c r="L81" i="50"/>
  <c r="K81" i="50"/>
  <c r="A81" i="50"/>
  <c r="M81" i="50"/>
  <c r="J81" i="50"/>
  <c r="G81" i="50"/>
  <c r="N81" i="50"/>
  <c r="K141" i="57"/>
  <c r="I141" i="57"/>
  <c r="H141" i="57"/>
  <c r="G141" i="57"/>
  <c r="E141" i="57"/>
  <c r="C141" i="57"/>
  <c r="D141" i="57"/>
  <c r="F141" i="57"/>
  <c r="J141" i="57"/>
  <c r="AN140" i="55" a="1"/>
  <c r="AN140" i="55" s="1"/>
  <c r="B142" i="57" s="1"/>
  <c r="C126" i="69"/>
  <c r="P126" i="69" s="1"/>
  <c r="AE124" i="69"/>
  <c r="R124" i="69"/>
  <c r="S124" i="69" s="1"/>
  <c r="Y124" i="69" s="1"/>
  <c r="D125" i="69"/>
  <c r="E125" i="69" s="1"/>
  <c r="F125" i="69" s="1"/>
  <c r="G125" i="69" s="1"/>
  <c r="H125" i="69" s="1"/>
  <c r="I125" i="69" s="1"/>
  <c r="J125" i="69" s="1"/>
  <c r="K125" i="69" s="1"/>
  <c r="M125" i="69" s="1"/>
  <c r="AR126" i="67" a="1"/>
  <c r="AR126" i="67" s="1"/>
  <c r="B127" i="69"/>
  <c r="L127" i="69" s="1"/>
  <c r="AL71" i="11" a="1"/>
  <c r="AL71" i="11" s="1"/>
  <c r="E72" i="32" s="1"/>
  <c r="AP81" i="59" a="1"/>
  <c r="AP81" i="59" s="1"/>
  <c r="E82" i="50" s="1"/>
  <c r="AB124" i="69" l="1"/>
  <c r="AC124" i="69" s="1"/>
  <c r="AD124" i="69" s="1"/>
  <c r="AD80" i="50"/>
  <c r="AG80" i="50" s="1"/>
  <c r="AG141" i="57"/>
  <c r="X139" i="57"/>
  <c r="AB139" i="57" s="1"/>
  <c r="M142" i="53"/>
  <c r="AC142" i="53" s="1"/>
  <c r="O142" i="53"/>
  <c r="AP126" i="69"/>
  <c r="N126" i="69"/>
  <c r="U126" i="69" s="1"/>
  <c r="AF138" i="57"/>
  <c r="AA138" i="57"/>
  <c r="AJ140" i="57"/>
  <c r="R140" i="57"/>
  <c r="AC140" i="57"/>
  <c r="AD140" i="57"/>
  <c r="AE140" i="57"/>
  <c r="Q140" i="57"/>
  <c r="T140" i="57" s="1"/>
  <c r="AQ140" i="57"/>
  <c r="M141" i="57"/>
  <c r="AK141" i="57" s="1"/>
  <c r="Q81" i="50"/>
  <c r="P81" i="50" s="1"/>
  <c r="N142" i="53"/>
  <c r="O72" i="32"/>
  <c r="T72" i="32"/>
  <c r="T82" i="50"/>
  <c r="O82" i="50"/>
  <c r="AA140" i="53"/>
  <c r="AB140" i="53"/>
  <c r="AP78" i="50"/>
  <c r="AJ80" i="50"/>
  <c r="C80" i="50"/>
  <c r="S81" i="50"/>
  <c r="Z81" i="50" s="1"/>
  <c r="W80" i="50"/>
  <c r="X79" i="50"/>
  <c r="V80" i="50"/>
  <c r="AF125" i="69"/>
  <c r="Q125" i="69"/>
  <c r="O142" i="57"/>
  <c r="P142" i="57"/>
  <c r="AC123" i="69"/>
  <c r="AD123" i="69" s="1"/>
  <c r="AH79" i="50"/>
  <c r="AI79" i="50" s="1"/>
  <c r="O127" i="69"/>
  <c r="AO126" i="69"/>
  <c r="AG124" i="69"/>
  <c r="AK82" i="50"/>
  <c r="AE141" i="53"/>
  <c r="AF140" i="53"/>
  <c r="AK72" i="32"/>
  <c r="AM81" i="50"/>
  <c r="R141" i="53"/>
  <c r="X141" i="53" s="1"/>
  <c r="AL79" i="50"/>
  <c r="AY125" i="69"/>
  <c r="L142" i="57"/>
  <c r="AG141" i="53"/>
  <c r="AH141" i="53"/>
  <c r="AT141" i="53"/>
  <c r="N142" i="57"/>
  <c r="AH125" i="69"/>
  <c r="Q141" i="53"/>
  <c r="AD141" i="53"/>
  <c r="AK141" i="52" a="1"/>
  <c r="AK141" i="52" s="1"/>
  <c r="B143" i="53" s="1"/>
  <c r="L142" i="53"/>
  <c r="I142" i="53"/>
  <c r="D142" i="53"/>
  <c r="P142" i="53"/>
  <c r="F142" i="53"/>
  <c r="K142" i="53"/>
  <c r="H142" i="53"/>
  <c r="C142" i="53"/>
  <c r="E142" i="53"/>
  <c r="G142" i="53"/>
  <c r="J142" i="53"/>
  <c r="K82" i="50"/>
  <c r="B82" i="50"/>
  <c r="R82" i="50" s="1"/>
  <c r="M82" i="50"/>
  <c r="A82" i="50"/>
  <c r="I82" i="50"/>
  <c r="F82" i="50"/>
  <c r="U82" i="50" s="1"/>
  <c r="L82" i="50"/>
  <c r="H82" i="50"/>
  <c r="N82" i="50"/>
  <c r="J82" i="50"/>
  <c r="G82" i="50"/>
  <c r="K142" i="57"/>
  <c r="I142" i="57"/>
  <c r="G142" i="57"/>
  <c r="C142" i="57"/>
  <c r="E142" i="57"/>
  <c r="F142" i="57"/>
  <c r="D142" i="57"/>
  <c r="J142" i="57"/>
  <c r="H142" i="57"/>
  <c r="AN141" i="55" a="1"/>
  <c r="AN141" i="55" s="1"/>
  <c r="B143" i="57" s="1"/>
  <c r="AE125" i="69"/>
  <c r="R125" i="69"/>
  <c r="S125" i="69" s="1"/>
  <c r="Y125" i="69" s="1"/>
  <c r="D126" i="69"/>
  <c r="E126" i="69" s="1"/>
  <c r="F126" i="69" s="1"/>
  <c r="G126" i="69" s="1"/>
  <c r="H126" i="69" s="1"/>
  <c r="I126" i="69" s="1"/>
  <c r="J126" i="69" s="1"/>
  <c r="K126" i="69" s="1"/>
  <c r="M126" i="69" s="1"/>
  <c r="C127" i="69"/>
  <c r="P127" i="69" s="1"/>
  <c r="AR127" i="67" a="1"/>
  <c r="AR127" i="67" s="1"/>
  <c r="B128" i="69"/>
  <c r="L128" i="69" s="1"/>
  <c r="AL72" i="11" a="1"/>
  <c r="AL72" i="11" s="1"/>
  <c r="E73" i="32" s="1"/>
  <c r="AP82" i="59" a="1"/>
  <c r="AP82" i="59" s="1"/>
  <c r="E83" i="50" s="1"/>
  <c r="AA139" i="57" l="1"/>
  <c r="AD81" i="50"/>
  <c r="AG81" i="50" s="1"/>
  <c r="AG142" i="57"/>
  <c r="X140" i="57"/>
  <c r="AA140" i="57" s="1"/>
  <c r="AF139" i="57"/>
  <c r="M143" i="53"/>
  <c r="AC143" i="53" s="1"/>
  <c r="O143" i="53"/>
  <c r="AP127" i="69"/>
  <c r="N127" i="69"/>
  <c r="U127" i="69" s="1"/>
  <c r="AJ141" i="57"/>
  <c r="R141" i="57"/>
  <c r="AE141" i="57"/>
  <c r="Q141" i="57"/>
  <c r="T141" i="57" s="1"/>
  <c r="AD141" i="57"/>
  <c r="AC141" i="57"/>
  <c r="AQ141" i="57"/>
  <c r="M142" i="57"/>
  <c r="AK142" i="57" s="1"/>
  <c r="Q82" i="50"/>
  <c r="P82" i="50" s="1"/>
  <c r="N143" i="53"/>
  <c r="O73" i="32"/>
  <c r="T73" i="32"/>
  <c r="T83" i="50"/>
  <c r="O83" i="50"/>
  <c r="AA141" i="53"/>
  <c r="AB141" i="53"/>
  <c r="AP79" i="50"/>
  <c r="AJ81" i="50"/>
  <c r="C81" i="50"/>
  <c r="S82" i="50"/>
  <c r="Z82" i="50" s="1"/>
  <c r="W81" i="50"/>
  <c r="X80" i="50"/>
  <c r="V81" i="50"/>
  <c r="AF126" i="69"/>
  <c r="Q126" i="69"/>
  <c r="O143" i="57"/>
  <c r="P143" i="57"/>
  <c r="AH80" i="50"/>
  <c r="AI80" i="50" s="1"/>
  <c r="AB125" i="69"/>
  <c r="AG125" i="69"/>
  <c r="O128" i="69"/>
  <c r="AO127" i="69"/>
  <c r="AK83" i="50"/>
  <c r="AF141" i="53"/>
  <c r="AE142" i="53"/>
  <c r="AK73" i="32"/>
  <c r="AM82" i="50"/>
  <c r="R142" i="53"/>
  <c r="X142" i="53" s="1"/>
  <c r="AL80" i="50"/>
  <c r="AY126" i="69"/>
  <c r="L143" i="57"/>
  <c r="AG142" i="53"/>
  <c r="AH142" i="53"/>
  <c r="AT142" i="53"/>
  <c r="N143" i="57"/>
  <c r="AH126" i="69"/>
  <c r="AD142" i="53"/>
  <c r="Q142" i="53"/>
  <c r="F143" i="53"/>
  <c r="E143" i="53"/>
  <c r="H143" i="53"/>
  <c r="D143" i="53"/>
  <c r="J143" i="53"/>
  <c r="G143" i="53"/>
  <c r="K143" i="53"/>
  <c r="P143" i="53"/>
  <c r="I143" i="53"/>
  <c r="C143" i="53"/>
  <c r="AK142" i="52" a="1"/>
  <c r="AK142" i="52" s="1"/>
  <c r="B144" i="53" s="1"/>
  <c r="L143" i="53"/>
  <c r="B83" i="50"/>
  <c r="R83" i="50" s="1"/>
  <c r="J83" i="50"/>
  <c r="F83" i="50"/>
  <c r="U83" i="50" s="1"/>
  <c r="K83" i="50"/>
  <c r="A83" i="50"/>
  <c r="N83" i="50"/>
  <c r="I83" i="50"/>
  <c r="M83" i="50"/>
  <c r="H83" i="50"/>
  <c r="G83" i="50"/>
  <c r="L83" i="50"/>
  <c r="C143" i="57"/>
  <c r="K143" i="57"/>
  <c r="I143" i="57"/>
  <c r="H143" i="57"/>
  <c r="G143" i="57"/>
  <c r="D143" i="57"/>
  <c r="E143" i="57"/>
  <c r="J143" i="57"/>
  <c r="F143" i="57"/>
  <c r="AN142" i="55" a="1"/>
  <c r="AN142" i="55" s="1"/>
  <c r="B144" i="57" s="1"/>
  <c r="D127" i="69"/>
  <c r="E127" i="69" s="1"/>
  <c r="F127" i="69" s="1"/>
  <c r="G127" i="69" s="1"/>
  <c r="H127" i="69" s="1"/>
  <c r="I127" i="69" s="1"/>
  <c r="J127" i="69" s="1"/>
  <c r="K127" i="69" s="1"/>
  <c r="M127" i="69" s="1"/>
  <c r="C128" i="69"/>
  <c r="P128" i="69" s="1"/>
  <c r="AR128" i="67" a="1"/>
  <c r="AR128" i="67" s="1"/>
  <c r="B129" i="69"/>
  <c r="L129" i="69" s="1"/>
  <c r="R126" i="69"/>
  <c r="S126" i="69" s="1"/>
  <c r="Y126" i="69" s="1"/>
  <c r="AE126" i="69"/>
  <c r="AL73" i="11" a="1"/>
  <c r="AL73" i="11" s="1"/>
  <c r="AP83" i="59" a="1"/>
  <c r="AP83" i="59" s="1"/>
  <c r="E84" i="50" s="1"/>
  <c r="AD82" i="50" l="1"/>
  <c r="AG82" i="50" s="1"/>
  <c r="AF140" i="57"/>
  <c r="AB140" i="57"/>
  <c r="AG143" i="57"/>
  <c r="X141" i="57"/>
  <c r="AB141" i="57" s="1"/>
  <c r="M144" i="53"/>
  <c r="AC144" i="53" s="1"/>
  <c r="O144" i="53"/>
  <c r="AP128" i="69"/>
  <c r="N128" i="69"/>
  <c r="U128" i="69" s="1"/>
  <c r="AD142" i="57"/>
  <c r="Q142" i="57"/>
  <c r="T142" i="57" s="1"/>
  <c r="R142" i="57"/>
  <c r="AC142" i="57"/>
  <c r="AQ142" i="57"/>
  <c r="AJ142" i="57"/>
  <c r="AE142" i="57"/>
  <c r="M143" i="57"/>
  <c r="AK143" i="57" s="1"/>
  <c r="Q83" i="50"/>
  <c r="P83" i="50" s="1"/>
  <c r="N144" i="53"/>
  <c r="O84" i="50"/>
  <c r="T84" i="50"/>
  <c r="AA142" i="53"/>
  <c r="AB142" i="53"/>
  <c r="AP80" i="50"/>
  <c r="AJ82" i="50"/>
  <c r="C82" i="50"/>
  <c r="S83" i="50"/>
  <c r="Z83" i="50" s="1"/>
  <c r="W82" i="50"/>
  <c r="X81" i="50"/>
  <c r="V82" i="50"/>
  <c r="AF127" i="69"/>
  <c r="Q127" i="69"/>
  <c r="O144" i="57"/>
  <c r="P144" i="57"/>
  <c r="AC125" i="69"/>
  <c r="AD125" i="69" s="1"/>
  <c r="AH81" i="50"/>
  <c r="AI81" i="50" s="1"/>
  <c r="AB126" i="69"/>
  <c r="AG126" i="69"/>
  <c r="AO128" i="69"/>
  <c r="O129" i="69"/>
  <c r="AK84" i="50"/>
  <c r="AE143" i="53"/>
  <c r="AF142" i="53"/>
  <c r="AM83" i="50"/>
  <c r="R143" i="53"/>
  <c r="X143" i="53" s="1"/>
  <c r="AL81" i="50"/>
  <c r="AY127" i="69"/>
  <c r="L144" i="57"/>
  <c r="Q143" i="53"/>
  <c r="AH143" i="53"/>
  <c r="AT143" i="53"/>
  <c r="AG143" i="53"/>
  <c r="N144" i="57"/>
  <c r="D144" i="53"/>
  <c r="AD143" i="53"/>
  <c r="AH127" i="69"/>
  <c r="AK143" i="52" a="1"/>
  <c r="AK143" i="52" s="1"/>
  <c r="B145" i="53" s="1"/>
  <c r="F144" i="53"/>
  <c r="H144" i="53"/>
  <c r="P144" i="53"/>
  <c r="E144" i="53"/>
  <c r="G144" i="53"/>
  <c r="J144" i="53"/>
  <c r="C144" i="53"/>
  <c r="L144" i="53"/>
  <c r="I144" i="53"/>
  <c r="K144" i="53"/>
  <c r="J84" i="50"/>
  <c r="M84" i="50"/>
  <c r="I84" i="50"/>
  <c r="K84" i="50"/>
  <c r="A84" i="50"/>
  <c r="H84" i="50"/>
  <c r="F84" i="50"/>
  <c r="U84" i="50" s="1"/>
  <c r="N84" i="50"/>
  <c r="L84" i="50"/>
  <c r="G84" i="50"/>
  <c r="B84" i="50"/>
  <c r="R84" i="50" s="1"/>
  <c r="C144" i="57"/>
  <c r="K144" i="57"/>
  <c r="I144" i="57"/>
  <c r="E144" i="57"/>
  <c r="G144" i="57"/>
  <c r="F144" i="57"/>
  <c r="J144" i="57"/>
  <c r="D144" i="57"/>
  <c r="H144" i="57"/>
  <c r="E74" i="32"/>
  <c r="AN143" i="55" a="1"/>
  <c r="AN143" i="55" s="1"/>
  <c r="B145" i="57" s="1"/>
  <c r="D128" i="69"/>
  <c r="E128" i="69" s="1"/>
  <c r="F128" i="69" s="1"/>
  <c r="G128" i="69" s="1"/>
  <c r="H128" i="69" s="1"/>
  <c r="I128" i="69" s="1"/>
  <c r="J128" i="69" s="1"/>
  <c r="K128" i="69" s="1"/>
  <c r="M128" i="69" s="1"/>
  <c r="AR129" i="67" a="1"/>
  <c r="AR129" i="67" s="1"/>
  <c r="B130" i="69"/>
  <c r="L130" i="69" s="1"/>
  <c r="C129" i="69"/>
  <c r="P129" i="69" s="1"/>
  <c r="AE127" i="69"/>
  <c r="R127" i="69"/>
  <c r="S127" i="69" s="1"/>
  <c r="AL74" i="11" a="1"/>
  <c r="AL74" i="11" s="1"/>
  <c r="AP84" i="59" a="1"/>
  <c r="AP84" i="59" s="1"/>
  <c r="E85" i="50" s="1"/>
  <c r="Y127" i="69" l="1"/>
  <c r="AB127" i="69" s="1"/>
  <c r="AC127" i="69" s="1"/>
  <c r="AD127" i="69" s="1"/>
  <c r="AD83" i="50"/>
  <c r="AG83" i="50" s="1"/>
  <c r="X142" i="57"/>
  <c r="AF142" i="57" s="1"/>
  <c r="AG144" i="57"/>
  <c r="M145" i="53"/>
  <c r="AC145" i="53" s="1"/>
  <c r="O145" i="53"/>
  <c r="AP129" i="69"/>
  <c r="N129" i="69"/>
  <c r="U129" i="69" s="1"/>
  <c r="AQ143" i="57"/>
  <c r="AE143" i="57"/>
  <c r="AA141" i="57"/>
  <c r="AF141" i="57"/>
  <c r="AD143" i="57"/>
  <c r="AJ143" i="57"/>
  <c r="Q143" i="57"/>
  <c r="T143" i="57" s="1"/>
  <c r="R143" i="57"/>
  <c r="AC143" i="57"/>
  <c r="M144" i="57"/>
  <c r="AK144" i="57" s="1"/>
  <c r="Q84" i="50"/>
  <c r="P84" i="50" s="1"/>
  <c r="N145" i="53"/>
  <c r="T74" i="32"/>
  <c r="O74" i="32"/>
  <c r="O85" i="50"/>
  <c r="T85" i="50"/>
  <c r="AA143" i="53"/>
  <c r="AB143" i="53"/>
  <c r="AP81" i="50"/>
  <c r="AJ83" i="50"/>
  <c r="C83" i="50"/>
  <c r="S84" i="50"/>
  <c r="Z84" i="50" s="1"/>
  <c r="W83" i="50"/>
  <c r="X82" i="50"/>
  <c r="V83" i="50"/>
  <c r="AF128" i="69"/>
  <c r="Q128" i="69"/>
  <c r="O145" i="57"/>
  <c r="P145" i="57"/>
  <c r="AC126" i="69"/>
  <c r="AD126" i="69" s="1"/>
  <c r="AH82" i="50"/>
  <c r="AI82" i="50" s="1"/>
  <c r="AO129" i="69"/>
  <c r="O130" i="69"/>
  <c r="AK85" i="50"/>
  <c r="AF143" i="53"/>
  <c r="AE144" i="53"/>
  <c r="AK74" i="32"/>
  <c r="AM84" i="50"/>
  <c r="R144" i="53"/>
  <c r="X144" i="53" s="1"/>
  <c r="AL82" i="50"/>
  <c r="AY128" i="69"/>
  <c r="L145" i="57"/>
  <c r="AH144" i="53"/>
  <c r="AT144" i="53"/>
  <c r="AG144" i="53"/>
  <c r="N145" i="57"/>
  <c r="K145" i="53"/>
  <c r="AH128" i="69"/>
  <c r="Q144" i="53"/>
  <c r="AD144" i="53"/>
  <c r="AK144" i="52" a="1"/>
  <c r="AK144" i="52" s="1"/>
  <c r="B146" i="53" s="1"/>
  <c r="H145" i="53"/>
  <c r="J145" i="53"/>
  <c r="F145" i="53"/>
  <c r="L145" i="53"/>
  <c r="E145" i="53"/>
  <c r="G145" i="53"/>
  <c r="P145" i="53"/>
  <c r="I145" i="53"/>
  <c r="D145" i="53"/>
  <c r="C145" i="53"/>
  <c r="M85" i="50"/>
  <c r="F85" i="50"/>
  <c r="U85" i="50" s="1"/>
  <c r="N85" i="50"/>
  <c r="L85" i="50"/>
  <c r="G85" i="50"/>
  <c r="H85" i="50"/>
  <c r="B85" i="50"/>
  <c r="R85" i="50" s="1"/>
  <c r="J85" i="50"/>
  <c r="K85" i="50"/>
  <c r="A85" i="50"/>
  <c r="I85" i="50"/>
  <c r="D145" i="57"/>
  <c r="C145" i="57"/>
  <c r="K145" i="57"/>
  <c r="I145" i="57"/>
  <c r="H145" i="57"/>
  <c r="E145" i="57"/>
  <c r="G145" i="57"/>
  <c r="F145" i="57"/>
  <c r="J145" i="57"/>
  <c r="E75" i="32"/>
  <c r="AN144" i="55" a="1"/>
  <c r="AN144" i="55" s="1"/>
  <c r="B146" i="57" s="1"/>
  <c r="R128" i="69"/>
  <c r="S128" i="69" s="1"/>
  <c r="Y128" i="69" s="1"/>
  <c r="AE128" i="69"/>
  <c r="D129" i="69"/>
  <c r="E129" i="69" s="1"/>
  <c r="F129" i="69" s="1"/>
  <c r="G129" i="69" s="1"/>
  <c r="H129" i="69" s="1"/>
  <c r="I129" i="69" s="1"/>
  <c r="J129" i="69" s="1"/>
  <c r="K129" i="69" s="1"/>
  <c r="M129" i="69" s="1"/>
  <c r="C130" i="69"/>
  <c r="P130" i="69" s="1"/>
  <c r="AR130" i="67" a="1"/>
  <c r="AR130" i="67" s="1"/>
  <c r="B131" i="69"/>
  <c r="L131" i="69" s="1"/>
  <c r="AL75" i="11" a="1"/>
  <c r="AL75" i="11" s="1"/>
  <c r="E76" i="32" s="1"/>
  <c r="AP85" i="59" a="1"/>
  <c r="AP85" i="59" s="1"/>
  <c r="E86" i="50" s="1"/>
  <c r="AG127" i="69" l="1"/>
  <c r="AD84" i="50"/>
  <c r="AG84" i="50" s="1"/>
  <c r="X143" i="57"/>
  <c r="AB143" i="57" s="1"/>
  <c r="AG145" i="57"/>
  <c r="M146" i="53"/>
  <c r="AC146" i="53" s="1"/>
  <c r="O146" i="53"/>
  <c r="AP130" i="69"/>
  <c r="N130" i="69"/>
  <c r="U130" i="69" s="1"/>
  <c r="AB142" i="57"/>
  <c r="AA142" i="57"/>
  <c r="Q144" i="57"/>
  <c r="T144" i="57" s="1"/>
  <c r="R144" i="57"/>
  <c r="AC144" i="57"/>
  <c r="AE144" i="57"/>
  <c r="AQ144" i="57"/>
  <c r="AD144" i="57"/>
  <c r="AJ144" i="57"/>
  <c r="M145" i="57"/>
  <c r="AK145" i="57" s="1"/>
  <c r="Q85" i="50"/>
  <c r="P85" i="50" s="1"/>
  <c r="N146" i="53"/>
  <c r="O76" i="32"/>
  <c r="T76" i="32"/>
  <c r="T75" i="32"/>
  <c r="O75" i="32"/>
  <c r="T86" i="50"/>
  <c r="O86" i="50"/>
  <c r="AA144" i="53"/>
  <c r="AB144" i="53"/>
  <c r="AP82" i="50"/>
  <c r="AJ84" i="50"/>
  <c r="C84" i="50"/>
  <c r="S85" i="50"/>
  <c r="Z85" i="50" s="1"/>
  <c r="W84" i="50"/>
  <c r="X83" i="50"/>
  <c r="V84" i="50"/>
  <c r="AF129" i="69"/>
  <c r="Q129" i="69"/>
  <c r="O146" i="57"/>
  <c r="P146" i="57"/>
  <c r="AH83" i="50"/>
  <c r="AI83" i="50" s="1"/>
  <c r="AB128" i="69"/>
  <c r="AG128" i="69"/>
  <c r="AO130" i="69"/>
  <c r="O131" i="69"/>
  <c r="AK86" i="50"/>
  <c r="AF144" i="53"/>
  <c r="AE145" i="53"/>
  <c r="AK76" i="32"/>
  <c r="AK75" i="32"/>
  <c r="AM85" i="50"/>
  <c r="R145" i="53"/>
  <c r="X145" i="53" s="1"/>
  <c r="AL83" i="50"/>
  <c r="AY129" i="69"/>
  <c r="L146" i="57"/>
  <c r="AH145" i="53"/>
  <c r="AT145" i="53"/>
  <c r="AG145" i="53"/>
  <c r="N146" i="57"/>
  <c r="AH129" i="69"/>
  <c r="AD145" i="53"/>
  <c r="Q145" i="53"/>
  <c r="AK145" i="52" a="1"/>
  <c r="AK145" i="52" s="1"/>
  <c r="B147" i="53" s="1"/>
  <c r="G146" i="53"/>
  <c r="H146" i="53"/>
  <c r="P146" i="53"/>
  <c r="J146" i="53"/>
  <c r="E146" i="53"/>
  <c r="C146" i="53"/>
  <c r="F146" i="53"/>
  <c r="I146" i="53"/>
  <c r="L146" i="53"/>
  <c r="D146" i="53"/>
  <c r="K146" i="53"/>
  <c r="F86" i="50"/>
  <c r="U86" i="50" s="1"/>
  <c r="G86" i="50"/>
  <c r="J86" i="50"/>
  <c r="A86" i="50"/>
  <c r="H86" i="50"/>
  <c r="L86" i="50"/>
  <c r="N86" i="50"/>
  <c r="I86" i="50"/>
  <c r="M86" i="50"/>
  <c r="K86" i="50"/>
  <c r="B86" i="50"/>
  <c r="R86" i="50" s="1"/>
  <c r="C146" i="57"/>
  <c r="K146" i="57"/>
  <c r="I146" i="57"/>
  <c r="G146" i="57"/>
  <c r="E146" i="57"/>
  <c r="F146" i="57"/>
  <c r="J146" i="57"/>
  <c r="D146" i="57"/>
  <c r="H146" i="57"/>
  <c r="AN145" i="55" a="1"/>
  <c r="AN145" i="55" s="1"/>
  <c r="B147" i="57" s="1"/>
  <c r="D130" i="69"/>
  <c r="E130" i="69" s="1"/>
  <c r="F130" i="69" s="1"/>
  <c r="G130" i="69" s="1"/>
  <c r="H130" i="69" s="1"/>
  <c r="I130" i="69" s="1"/>
  <c r="J130" i="69" s="1"/>
  <c r="K130" i="69" s="1"/>
  <c r="M130" i="69" s="1"/>
  <c r="C131" i="69"/>
  <c r="P131" i="69" s="1"/>
  <c r="AR131" i="67" a="1"/>
  <c r="AR131" i="67" s="1"/>
  <c r="B132" i="69"/>
  <c r="L132" i="69" s="1"/>
  <c r="AE129" i="69"/>
  <c r="R129" i="69"/>
  <c r="S129" i="69" s="1"/>
  <c r="Y129" i="69" s="1"/>
  <c r="AL76" i="11" a="1"/>
  <c r="AL76" i="11" s="1"/>
  <c r="E77" i="32" s="1"/>
  <c r="AP86" i="59" a="1"/>
  <c r="AP86" i="59" s="1"/>
  <c r="E87" i="50" s="1"/>
  <c r="AD85" i="50" l="1"/>
  <c r="AG85" i="50" s="1"/>
  <c r="X144" i="57"/>
  <c r="AB144" i="57" s="1"/>
  <c r="AG146" i="57"/>
  <c r="AA143" i="57"/>
  <c r="M147" i="53"/>
  <c r="AC147" i="53" s="1"/>
  <c r="O147" i="53"/>
  <c r="AP131" i="69"/>
  <c r="N131" i="69"/>
  <c r="U131" i="69" s="1"/>
  <c r="AQ145" i="57"/>
  <c r="AD145" i="57"/>
  <c r="AJ145" i="57"/>
  <c r="AF143" i="57"/>
  <c r="Q145" i="57"/>
  <c r="T145" i="57" s="1"/>
  <c r="R145" i="57"/>
  <c r="AE145" i="57"/>
  <c r="AC145" i="57"/>
  <c r="M146" i="57"/>
  <c r="AK146" i="57" s="1"/>
  <c r="Q86" i="50"/>
  <c r="P86" i="50" s="1"/>
  <c r="N147" i="53"/>
  <c r="O77" i="32"/>
  <c r="T77" i="32"/>
  <c r="T87" i="50"/>
  <c r="O87" i="50"/>
  <c r="AA145" i="53"/>
  <c r="AB145" i="53"/>
  <c r="AP83" i="50"/>
  <c r="AJ85" i="50"/>
  <c r="C85" i="50"/>
  <c r="S86" i="50"/>
  <c r="Z86" i="50" s="1"/>
  <c r="W85" i="50"/>
  <c r="X84" i="50"/>
  <c r="V85" i="50"/>
  <c r="AF130" i="69"/>
  <c r="Q130" i="69"/>
  <c r="O147" i="57"/>
  <c r="P147" i="57"/>
  <c r="AC128" i="69"/>
  <c r="AD128" i="69" s="1"/>
  <c r="AH84" i="50"/>
  <c r="AI84" i="50" s="1"/>
  <c r="AB129" i="69"/>
  <c r="AG129" i="69"/>
  <c r="AO131" i="69"/>
  <c r="O132" i="69"/>
  <c r="AK87" i="50"/>
  <c r="AE146" i="53"/>
  <c r="AF145" i="53"/>
  <c r="AK77" i="32"/>
  <c r="AM86" i="50"/>
  <c r="R146" i="53"/>
  <c r="X146" i="53" s="1"/>
  <c r="AL84" i="50"/>
  <c r="AY130" i="69"/>
  <c r="L147" i="57"/>
  <c r="AG146" i="53"/>
  <c r="Q146" i="53"/>
  <c r="AH146" i="53"/>
  <c r="AT146" i="53"/>
  <c r="N147" i="57"/>
  <c r="AD146" i="53"/>
  <c r="G147" i="53"/>
  <c r="AH130" i="69"/>
  <c r="K147" i="53"/>
  <c r="C147" i="53"/>
  <c r="P147" i="53"/>
  <c r="H147" i="53"/>
  <c r="E147" i="53"/>
  <c r="J147" i="53"/>
  <c r="F147" i="53"/>
  <c r="D147" i="53"/>
  <c r="L147" i="53"/>
  <c r="AK146" i="52" a="1"/>
  <c r="AK146" i="52" s="1"/>
  <c r="B148" i="53" s="1"/>
  <c r="I147" i="53"/>
  <c r="J87" i="50"/>
  <c r="N87" i="50"/>
  <c r="B87" i="50"/>
  <c r="R87" i="50" s="1"/>
  <c r="M87" i="50"/>
  <c r="A87" i="50"/>
  <c r="L87" i="50"/>
  <c r="F87" i="50"/>
  <c r="U87" i="50" s="1"/>
  <c r="I87" i="50"/>
  <c r="K87" i="50"/>
  <c r="H87" i="50"/>
  <c r="G87" i="50"/>
  <c r="D147" i="57"/>
  <c r="C147" i="57"/>
  <c r="K147" i="57"/>
  <c r="I147" i="57"/>
  <c r="H147" i="57"/>
  <c r="G147" i="57"/>
  <c r="E147" i="57"/>
  <c r="F147" i="57"/>
  <c r="J147" i="57"/>
  <c r="AN146" i="55" a="1"/>
  <c r="AN146" i="55" s="1"/>
  <c r="B148" i="57" s="1"/>
  <c r="AR132" i="67" a="1"/>
  <c r="AR132" i="67" s="1"/>
  <c r="B133" i="69"/>
  <c r="L133" i="69" s="1"/>
  <c r="C132" i="69"/>
  <c r="P132" i="69" s="1"/>
  <c r="D131" i="69"/>
  <c r="E131" i="69" s="1"/>
  <c r="F131" i="69" s="1"/>
  <c r="G131" i="69" s="1"/>
  <c r="H131" i="69" s="1"/>
  <c r="I131" i="69" s="1"/>
  <c r="J131" i="69" s="1"/>
  <c r="K131" i="69" s="1"/>
  <c r="M131" i="69" s="1"/>
  <c r="AE130" i="69"/>
  <c r="R130" i="69"/>
  <c r="S130" i="69" s="1"/>
  <c r="Y130" i="69" s="1"/>
  <c r="AL77" i="11" a="1"/>
  <c r="AL77" i="11" s="1"/>
  <c r="E78" i="32" s="1"/>
  <c r="AP87" i="59" a="1"/>
  <c r="AP87" i="59" s="1"/>
  <c r="E88" i="50" s="1"/>
  <c r="AD86" i="50" l="1"/>
  <c r="AG86" i="50" s="1"/>
  <c r="X145" i="57"/>
  <c r="AB145" i="57" s="1"/>
  <c r="AG147" i="57"/>
  <c r="AQ146" i="57"/>
  <c r="AJ146" i="57"/>
  <c r="M148" i="53"/>
  <c r="AC148" i="53" s="1"/>
  <c r="O148" i="53"/>
  <c r="AP132" i="69"/>
  <c r="N132" i="69"/>
  <c r="U132" i="69" s="1"/>
  <c r="AA144" i="57"/>
  <c r="AF144" i="57"/>
  <c r="R146" i="57"/>
  <c r="AC146" i="57"/>
  <c r="Q146" i="57"/>
  <c r="T146" i="57" s="1"/>
  <c r="AD146" i="57"/>
  <c r="AE146" i="57"/>
  <c r="M147" i="57"/>
  <c r="AK147" i="57" s="1"/>
  <c r="Q87" i="50"/>
  <c r="P87" i="50" s="1"/>
  <c r="N148" i="53"/>
  <c r="T78" i="32"/>
  <c r="O78" i="32"/>
  <c r="O88" i="50"/>
  <c r="T88" i="50"/>
  <c r="AA146" i="53"/>
  <c r="AB146" i="53"/>
  <c r="AP84" i="50"/>
  <c r="AJ86" i="50"/>
  <c r="C86" i="50"/>
  <c r="S87" i="50"/>
  <c r="Z87" i="50" s="1"/>
  <c r="W86" i="50"/>
  <c r="X85" i="50"/>
  <c r="V86" i="50"/>
  <c r="AF131" i="69"/>
  <c r="Q131" i="69"/>
  <c r="O148" i="57"/>
  <c r="P148" i="57"/>
  <c r="AC129" i="69"/>
  <c r="AD129" i="69" s="1"/>
  <c r="AH85" i="50"/>
  <c r="AI85" i="50" s="1"/>
  <c r="AB130" i="69"/>
  <c r="AG130" i="69"/>
  <c r="O133" i="69"/>
  <c r="AO132" i="69"/>
  <c r="AK88" i="50"/>
  <c r="AE147" i="53"/>
  <c r="AF146" i="53"/>
  <c r="AK78" i="32"/>
  <c r="AM87" i="50"/>
  <c r="R147" i="53"/>
  <c r="X147" i="53" s="1"/>
  <c r="AL85" i="50"/>
  <c r="AY131" i="69"/>
  <c r="L148" i="57"/>
  <c r="AH147" i="53"/>
  <c r="AT147" i="53"/>
  <c r="AG147" i="53"/>
  <c r="N148" i="57"/>
  <c r="J148" i="53"/>
  <c r="AH131" i="69"/>
  <c r="AD147" i="53"/>
  <c r="Q147" i="53"/>
  <c r="D148" i="53"/>
  <c r="I148" i="53"/>
  <c r="E148" i="53"/>
  <c r="L148" i="53"/>
  <c r="K148" i="53"/>
  <c r="G148" i="53"/>
  <c r="P148" i="53"/>
  <c r="F148" i="53"/>
  <c r="C148" i="53"/>
  <c r="AK147" i="52" a="1"/>
  <c r="AK147" i="52" s="1"/>
  <c r="B149" i="53" s="1"/>
  <c r="H148" i="53"/>
  <c r="F88" i="50"/>
  <c r="U88" i="50" s="1"/>
  <c r="L88" i="50"/>
  <c r="N88" i="50"/>
  <c r="M88" i="50"/>
  <c r="H88" i="50"/>
  <c r="I88" i="50"/>
  <c r="G88" i="50"/>
  <c r="A88" i="50"/>
  <c r="K88" i="50"/>
  <c r="B88" i="50"/>
  <c r="R88" i="50" s="1"/>
  <c r="J88" i="50"/>
  <c r="F148" i="57"/>
  <c r="C148" i="57"/>
  <c r="K148" i="57"/>
  <c r="H148" i="57"/>
  <c r="E148" i="57"/>
  <c r="G148" i="57"/>
  <c r="I148" i="57"/>
  <c r="D148" i="57"/>
  <c r="J148" i="57"/>
  <c r="AN147" i="55" a="1"/>
  <c r="AN147" i="55" s="1"/>
  <c r="B149" i="57" s="1"/>
  <c r="AR133" i="67" a="1"/>
  <c r="AR133" i="67" s="1"/>
  <c r="B134" i="69"/>
  <c r="L134" i="69" s="1"/>
  <c r="C133" i="69"/>
  <c r="P133" i="69" s="1"/>
  <c r="R131" i="69"/>
  <c r="S131" i="69" s="1"/>
  <c r="Y131" i="69" s="1"/>
  <c r="AE131" i="69"/>
  <c r="D132" i="69"/>
  <c r="E132" i="69" s="1"/>
  <c r="F132" i="69" s="1"/>
  <c r="G132" i="69" s="1"/>
  <c r="H132" i="69" s="1"/>
  <c r="I132" i="69" s="1"/>
  <c r="J132" i="69" s="1"/>
  <c r="K132" i="69" s="1"/>
  <c r="M132" i="69" s="1"/>
  <c r="AL78" i="11" a="1"/>
  <c r="AL78" i="11" s="1"/>
  <c r="AP88" i="59" a="1"/>
  <c r="AP88" i="59" s="1"/>
  <c r="E89" i="50" s="1"/>
  <c r="AD87" i="50" l="1"/>
  <c r="AG87" i="50" s="1"/>
  <c r="X146" i="57"/>
  <c r="AF146" i="57" s="1"/>
  <c r="AG148" i="57"/>
  <c r="M149" i="53"/>
  <c r="AC149" i="53" s="1"/>
  <c r="O149" i="53"/>
  <c r="AP133" i="69"/>
  <c r="N133" i="69"/>
  <c r="U133" i="69" s="1"/>
  <c r="Q147" i="57"/>
  <c r="T147" i="57" s="1"/>
  <c r="AQ147" i="57"/>
  <c r="AA145" i="57"/>
  <c r="AF145" i="57"/>
  <c r="AD147" i="57"/>
  <c r="AJ147" i="57"/>
  <c r="R147" i="57"/>
  <c r="AC147" i="57"/>
  <c r="AE147" i="57"/>
  <c r="M148" i="57"/>
  <c r="AK148" i="57" s="1"/>
  <c r="Q88" i="50"/>
  <c r="P88" i="50" s="1"/>
  <c r="N149" i="53"/>
  <c r="O89" i="50"/>
  <c r="T89" i="50"/>
  <c r="AA147" i="53"/>
  <c r="AB147" i="53"/>
  <c r="AP85" i="50"/>
  <c r="AJ87" i="50"/>
  <c r="C87" i="50"/>
  <c r="S88" i="50"/>
  <c r="Z88" i="50" s="1"/>
  <c r="W87" i="50"/>
  <c r="X86" i="50"/>
  <c r="V87" i="50"/>
  <c r="AF132" i="69"/>
  <c r="Q132" i="69"/>
  <c r="O149" i="57"/>
  <c r="P149" i="57"/>
  <c r="AC130" i="69"/>
  <c r="AD130" i="69" s="1"/>
  <c r="AH86" i="50"/>
  <c r="AI86" i="50" s="1"/>
  <c r="AB131" i="69"/>
  <c r="AG131" i="69"/>
  <c r="AO133" i="69"/>
  <c r="O134" i="69"/>
  <c r="AK89" i="50"/>
  <c r="AF147" i="53"/>
  <c r="AE148" i="53"/>
  <c r="AM88" i="50"/>
  <c r="R148" i="53"/>
  <c r="X148" i="53" s="1"/>
  <c r="AL86" i="50"/>
  <c r="AY132" i="69"/>
  <c r="L149" i="57"/>
  <c r="AH148" i="53"/>
  <c r="AT148" i="53"/>
  <c r="AG148" i="53"/>
  <c r="N149" i="57"/>
  <c r="AH132" i="69"/>
  <c r="AD148" i="53"/>
  <c r="Q148" i="53"/>
  <c r="AK148" i="52" a="1"/>
  <c r="AK148" i="52" s="1"/>
  <c r="B150" i="53" s="1"/>
  <c r="I149" i="53"/>
  <c r="L149" i="53"/>
  <c r="K149" i="53"/>
  <c r="F149" i="53"/>
  <c r="C149" i="53"/>
  <c r="E149" i="53"/>
  <c r="P149" i="53"/>
  <c r="D149" i="53"/>
  <c r="J149" i="53"/>
  <c r="H149" i="53"/>
  <c r="G149" i="53"/>
  <c r="I89" i="50"/>
  <c r="K89" i="50"/>
  <c r="A89" i="50"/>
  <c r="L89" i="50"/>
  <c r="J89" i="50"/>
  <c r="B89" i="50"/>
  <c r="R89" i="50" s="1"/>
  <c r="M89" i="50"/>
  <c r="G89" i="50"/>
  <c r="N89" i="50"/>
  <c r="F89" i="50"/>
  <c r="U89" i="50" s="1"/>
  <c r="H89" i="50"/>
  <c r="J149" i="57"/>
  <c r="H149" i="57"/>
  <c r="E149" i="57"/>
  <c r="F149" i="57"/>
  <c r="K149" i="57"/>
  <c r="G149" i="57"/>
  <c r="C149" i="57"/>
  <c r="I149" i="57"/>
  <c r="D149" i="57"/>
  <c r="E79" i="32"/>
  <c r="AN148" i="55" a="1"/>
  <c r="AN148" i="55" s="1"/>
  <c r="B150" i="57" s="1"/>
  <c r="AE132" i="69"/>
  <c r="R132" i="69"/>
  <c r="S132" i="69" s="1"/>
  <c r="Y132" i="69" s="1"/>
  <c r="C134" i="69"/>
  <c r="P134" i="69" s="1"/>
  <c r="D133" i="69"/>
  <c r="E133" i="69" s="1"/>
  <c r="F133" i="69" s="1"/>
  <c r="G133" i="69" s="1"/>
  <c r="H133" i="69" s="1"/>
  <c r="I133" i="69" s="1"/>
  <c r="J133" i="69" s="1"/>
  <c r="K133" i="69" s="1"/>
  <c r="M133" i="69" s="1"/>
  <c r="AR134" i="67" a="1"/>
  <c r="AR134" i="67" s="1"/>
  <c r="B135" i="69"/>
  <c r="L135" i="69" s="1"/>
  <c r="AL79" i="11" a="1"/>
  <c r="AL79" i="11" s="1"/>
  <c r="AP89" i="59" a="1"/>
  <c r="AP89" i="59" s="1"/>
  <c r="E90" i="50" s="1"/>
  <c r="AB132" i="69" l="1"/>
  <c r="AC132" i="69" s="1"/>
  <c r="AD132" i="69" s="1"/>
  <c r="AD88" i="50"/>
  <c r="AG88" i="50" s="1"/>
  <c r="X147" i="57"/>
  <c r="AF147" i="57" s="1"/>
  <c r="AG149" i="57"/>
  <c r="AQ148" i="57"/>
  <c r="M150" i="53"/>
  <c r="AC150" i="53" s="1"/>
  <c r="O150" i="53"/>
  <c r="AP134" i="69"/>
  <c r="N134" i="69"/>
  <c r="U134" i="69" s="1"/>
  <c r="AJ148" i="57"/>
  <c r="AE148" i="57"/>
  <c r="AA146" i="57"/>
  <c r="Q148" i="57"/>
  <c r="T148" i="57" s="1"/>
  <c r="AD148" i="57"/>
  <c r="R148" i="57"/>
  <c r="AC148" i="57"/>
  <c r="AB146" i="57"/>
  <c r="M149" i="57"/>
  <c r="AK149" i="57" s="1"/>
  <c r="Q89" i="50"/>
  <c r="P89" i="50" s="1"/>
  <c r="N150" i="53"/>
  <c r="T79" i="32"/>
  <c r="O79" i="32"/>
  <c r="T90" i="50"/>
  <c r="O90" i="50"/>
  <c r="AA148" i="53"/>
  <c r="AB148" i="53"/>
  <c r="AP86" i="50"/>
  <c r="AJ88" i="50"/>
  <c r="C88" i="50"/>
  <c r="S89" i="50"/>
  <c r="Z89" i="50" s="1"/>
  <c r="W88" i="50"/>
  <c r="X87" i="50"/>
  <c r="V88" i="50"/>
  <c r="AF133" i="69"/>
  <c r="Q133" i="69"/>
  <c r="O150" i="57"/>
  <c r="P150" i="57"/>
  <c r="AC131" i="69"/>
  <c r="AD131" i="69" s="1"/>
  <c r="AH87" i="50"/>
  <c r="AI87" i="50" s="1"/>
  <c r="AG132" i="69"/>
  <c r="O135" i="69"/>
  <c r="AO134" i="69"/>
  <c r="AK90" i="50"/>
  <c r="AE149" i="53"/>
  <c r="AF148" i="53"/>
  <c r="AK79" i="32"/>
  <c r="AM89" i="50"/>
  <c r="R149" i="53"/>
  <c r="X149" i="53" s="1"/>
  <c r="AL87" i="50"/>
  <c r="AY133" i="69"/>
  <c r="L150" i="57"/>
  <c r="AG149" i="53"/>
  <c r="AH149" i="53"/>
  <c r="AT149" i="53"/>
  <c r="N150" i="57"/>
  <c r="AH133" i="69"/>
  <c r="Q149" i="53"/>
  <c r="AD149" i="53"/>
  <c r="AK149" i="52" a="1"/>
  <c r="AK149" i="52" s="1"/>
  <c r="B151" i="53" s="1"/>
  <c r="J150" i="53"/>
  <c r="G150" i="53"/>
  <c r="H150" i="53"/>
  <c r="D150" i="53"/>
  <c r="F150" i="53"/>
  <c r="I150" i="53"/>
  <c r="K150" i="53"/>
  <c r="E150" i="53"/>
  <c r="P150" i="53"/>
  <c r="L150" i="53"/>
  <c r="C150" i="53"/>
  <c r="K90" i="50"/>
  <c r="M90" i="50"/>
  <c r="A90" i="50"/>
  <c r="G90" i="50"/>
  <c r="F90" i="50"/>
  <c r="U90" i="50" s="1"/>
  <c r="J90" i="50"/>
  <c r="L90" i="50"/>
  <c r="N90" i="50"/>
  <c r="H90" i="50"/>
  <c r="I90" i="50"/>
  <c r="B90" i="50"/>
  <c r="R90" i="50" s="1"/>
  <c r="J150" i="57"/>
  <c r="D150" i="57"/>
  <c r="I150" i="57"/>
  <c r="E150" i="57"/>
  <c r="G150" i="57"/>
  <c r="K150" i="57"/>
  <c r="F150" i="57"/>
  <c r="H150" i="57"/>
  <c r="C150" i="57"/>
  <c r="E80" i="32"/>
  <c r="AN149" i="55" a="1"/>
  <c r="AN149" i="55" s="1"/>
  <c r="B151" i="57" s="1"/>
  <c r="AR135" i="67" a="1"/>
  <c r="AR135" i="67" s="1"/>
  <c r="B136" i="69"/>
  <c r="L136" i="69" s="1"/>
  <c r="C135" i="69"/>
  <c r="P135" i="69" s="1"/>
  <c r="AE133" i="69"/>
  <c r="R133" i="69"/>
  <c r="S133" i="69" s="1"/>
  <c r="Y133" i="69" s="1"/>
  <c r="D134" i="69"/>
  <c r="E134" i="69" s="1"/>
  <c r="F134" i="69" s="1"/>
  <c r="G134" i="69" s="1"/>
  <c r="H134" i="69" s="1"/>
  <c r="I134" i="69" s="1"/>
  <c r="J134" i="69" s="1"/>
  <c r="K134" i="69" s="1"/>
  <c r="M134" i="69" s="1"/>
  <c r="AL80" i="11" a="1"/>
  <c r="AL80" i="11" s="1"/>
  <c r="E81" i="32" s="1"/>
  <c r="AP90" i="59" a="1"/>
  <c r="AP90" i="59" s="1"/>
  <c r="E91" i="50" s="1"/>
  <c r="AD89" i="50" l="1"/>
  <c r="AG89" i="50" s="1"/>
  <c r="AG150" i="57"/>
  <c r="X148" i="57"/>
  <c r="AB148" i="57" s="1"/>
  <c r="Q149" i="57"/>
  <c r="T149" i="57" s="1"/>
  <c r="M151" i="53"/>
  <c r="AC151" i="53" s="1"/>
  <c r="O151" i="53"/>
  <c r="AP135" i="69"/>
  <c r="N135" i="69"/>
  <c r="U135" i="69" s="1"/>
  <c r="AA147" i="57"/>
  <c r="AB147" i="57"/>
  <c r="AD149" i="57"/>
  <c r="R149" i="57"/>
  <c r="AE149" i="57"/>
  <c r="AC149" i="57"/>
  <c r="AQ149" i="57"/>
  <c r="M150" i="57"/>
  <c r="AK150" i="57" s="1"/>
  <c r="AJ149" i="57"/>
  <c r="Q90" i="50"/>
  <c r="P90" i="50" s="1"/>
  <c r="N151" i="53"/>
  <c r="O81" i="32"/>
  <c r="T81" i="32"/>
  <c r="O80" i="32"/>
  <c r="T80" i="32"/>
  <c r="T91" i="50"/>
  <c r="O91" i="50"/>
  <c r="AA149" i="53"/>
  <c r="AB149" i="53"/>
  <c r="AP87" i="50"/>
  <c r="AJ89" i="50"/>
  <c r="C89" i="50"/>
  <c r="S90" i="50"/>
  <c r="Z90" i="50" s="1"/>
  <c r="W89" i="50"/>
  <c r="X88" i="50"/>
  <c r="V89" i="50"/>
  <c r="AF134" i="69"/>
  <c r="Q134" i="69"/>
  <c r="O151" i="57"/>
  <c r="P151" i="57"/>
  <c r="AH88" i="50"/>
  <c r="AI88" i="50" s="1"/>
  <c r="AB133" i="69"/>
  <c r="AG133" i="69"/>
  <c r="AO135" i="69"/>
  <c r="O136" i="69"/>
  <c r="AK91" i="50"/>
  <c r="AE150" i="53"/>
  <c r="AF149" i="53"/>
  <c r="AK81" i="32"/>
  <c r="AK80" i="32"/>
  <c r="AM90" i="50"/>
  <c r="R150" i="53"/>
  <c r="X150" i="53" s="1"/>
  <c r="AL88" i="50"/>
  <c r="AY134" i="69"/>
  <c r="L151" i="57"/>
  <c r="AH150" i="53"/>
  <c r="AT150" i="53"/>
  <c r="AG150" i="53"/>
  <c r="N151" i="57"/>
  <c r="P151" i="53"/>
  <c r="AH134" i="69"/>
  <c r="AD150" i="53"/>
  <c r="Q150" i="53"/>
  <c r="AK150" i="52" a="1"/>
  <c r="AK150" i="52" s="1"/>
  <c r="B152" i="53" s="1"/>
  <c r="L151" i="53"/>
  <c r="I151" i="53"/>
  <c r="C151" i="53"/>
  <c r="F151" i="53"/>
  <c r="E151" i="53"/>
  <c r="J151" i="53"/>
  <c r="H151" i="53"/>
  <c r="G151" i="53"/>
  <c r="K151" i="53"/>
  <c r="D151" i="53"/>
  <c r="I91" i="50"/>
  <c r="N91" i="50"/>
  <c r="H91" i="50"/>
  <c r="G91" i="50"/>
  <c r="B91" i="50"/>
  <c r="R91" i="50" s="1"/>
  <c r="A91" i="50"/>
  <c r="K91" i="50"/>
  <c r="M91" i="50"/>
  <c r="F91" i="50"/>
  <c r="U91" i="50" s="1"/>
  <c r="J91" i="50"/>
  <c r="L91" i="50"/>
  <c r="I151" i="57"/>
  <c r="F151" i="57"/>
  <c r="D151" i="57"/>
  <c r="K151" i="57"/>
  <c r="G151" i="57"/>
  <c r="C151" i="57"/>
  <c r="H151" i="57"/>
  <c r="E151" i="57"/>
  <c r="J151" i="57"/>
  <c r="AN150" i="55" a="1"/>
  <c r="AN150" i="55" s="1"/>
  <c r="B152" i="57" s="1"/>
  <c r="AR136" i="67" a="1"/>
  <c r="AR136" i="67" s="1"/>
  <c r="B137" i="69"/>
  <c r="L137" i="69" s="1"/>
  <c r="C136" i="69"/>
  <c r="P136" i="69" s="1"/>
  <c r="AE134" i="69"/>
  <c r="R134" i="69"/>
  <c r="S134" i="69" s="1"/>
  <c r="D135" i="69"/>
  <c r="E135" i="69" s="1"/>
  <c r="F135" i="69" s="1"/>
  <c r="G135" i="69" s="1"/>
  <c r="H135" i="69" s="1"/>
  <c r="I135" i="69" s="1"/>
  <c r="J135" i="69" s="1"/>
  <c r="K135" i="69" s="1"/>
  <c r="M135" i="69" s="1"/>
  <c r="AL81" i="11" a="1"/>
  <c r="AL81" i="11" s="1"/>
  <c r="E82" i="32" s="1"/>
  <c r="AP91" i="59" a="1"/>
  <c r="AP91" i="59" s="1"/>
  <c r="E92" i="50" s="1"/>
  <c r="Y134" i="69" l="1"/>
  <c r="AB134" i="69" s="1"/>
  <c r="AC134" i="69" s="1"/>
  <c r="AD134" i="69" s="1"/>
  <c r="AD90" i="50"/>
  <c r="AG90" i="50" s="1"/>
  <c r="AG151" i="57"/>
  <c r="X149" i="57"/>
  <c r="AB149" i="57" s="1"/>
  <c r="AF148" i="57"/>
  <c r="M152" i="53"/>
  <c r="AC152" i="53" s="1"/>
  <c r="O152" i="53"/>
  <c r="AP136" i="69"/>
  <c r="N136" i="69"/>
  <c r="U136" i="69" s="1"/>
  <c r="AA148" i="57"/>
  <c r="AJ150" i="57"/>
  <c r="AD150" i="57"/>
  <c r="Q150" i="57"/>
  <c r="T150" i="57" s="1"/>
  <c r="AE150" i="57"/>
  <c r="R150" i="57"/>
  <c r="AC150" i="57"/>
  <c r="AQ150" i="57"/>
  <c r="M151" i="57"/>
  <c r="AK151" i="57" s="1"/>
  <c r="Q91" i="50"/>
  <c r="P91" i="50" s="1"/>
  <c r="N152" i="53"/>
  <c r="T82" i="32"/>
  <c r="O82" i="32"/>
  <c r="O92" i="50"/>
  <c r="T92" i="50"/>
  <c r="AA150" i="53"/>
  <c r="AB150" i="53"/>
  <c r="AP88" i="50"/>
  <c r="AJ90" i="50"/>
  <c r="C90" i="50"/>
  <c r="S91" i="50"/>
  <c r="Z91" i="50" s="1"/>
  <c r="W90" i="50"/>
  <c r="X89" i="50"/>
  <c r="V90" i="50"/>
  <c r="AF135" i="69"/>
  <c r="Q135" i="69"/>
  <c r="O152" i="57"/>
  <c r="P152" i="57"/>
  <c r="AC133" i="69"/>
  <c r="AD133" i="69" s="1"/>
  <c r="AH89" i="50"/>
  <c r="AI89" i="50" s="1"/>
  <c r="O137" i="69"/>
  <c r="AO136" i="69"/>
  <c r="AK92" i="50"/>
  <c r="AF150" i="53"/>
  <c r="AE151" i="53"/>
  <c r="AK82" i="32"/>
  <c r="AM91" i="50"/>
  <c r="R151" i="53"/>
  <c r="X151" i="53" s="1"/>
  <c r="AL89" i="50"/>
  <c r="AY135" i="69"/>
  <c r="L152" i="57"/>
  <c r="AH151" i="53"/>
  <c r="AT151" i="53"/>
  <c r="AG151" i="53"/>
  <c r="N152" i="57"/>
  <c r="C152" i="53"/>
  <c r="AH135" i="69"/>
  <c r="Q151" i="53"/>
  <c r="AD151" i="53"/>
  <c r="D152" i="53"/>
  <c r="F152" i="53"/>
  <c r="E152" i="53"/>
  <c r="G152" i="53"/>
  <c r="K152" i="53"/>
  <c r="J152" i="53"/>
  <c r="H152" i="53"/>
  <c r="AK151" i="52" a="1"/>
  <c r="AK151" i="52" s="1"/>
  <c r="B153" i="53" s="1"/>
  <c r="L152" i="53"/>
  <c r="I152" i="53"/>
  <c r="P152" i="53"/>
  <c r="M92" i="50"/>
  <c r="I92" i="50"/>
  <c r="K92" i="50"/>
  <c r="G92" i="50"/>
  <c r="B92" i="50"/>
  <c r="R92" i="50" s="1"/>
  <c r="J92" i="50"/>
  <c r="A92" i="50"/>
  <c r="F92" i="50"/>
  <c r="U92" i="50" s="1"/>
  <c r="N92" i="50"/>
  <c r="H92" i="50"/>
  <c r="L92" i="50"/>
  <c r="K152" i="57"/>
  <c r="J152" i="57"/>
  <c r="H152" i="57"/>
  <c r="F152" i="57"/>
  <c r="D152" i="57"/>
  <c r="C152" i="57"/>
  <c r="I152" i="57"/>
  <c r="E152" i="57"/>
  <c r="G152" i="57"/>
  <c r="AN151" i="55" a="1"/>
  <c r="AN151" i="55" s="1"/>
  <c r="B153" i="57" s="1"/>
  <c r="AR137" i="67" a="1"/>
  <c r="AR137" i="67" s="1"/>
  <c r="B138" i="69"/>
  <c r="L138" i="69" s="1"/>
  <c r="D136" i="69"/>
  <c r="E136" i="69" s="1"/>
  <c r="F136" i="69" s="1"/>
  <c r="G136" i="69" s="1"/>
  <c r="H136" i="69" s="1"/>
  <c r="I136" i="69" s="1"/>
  <c r="J136" i="69" s="1"/>
  <c r="K136" i="69" s="1"/>
  <c r="M136" i="69" s="1"/>
  <c r="AE135" i="69"/>
  <c r="R135" i="69"/>
  <c r="S135" i="69" s="1"/>
  <c r="Y135" i="69" s="1"/>
  <c r="C137" i="69"/>
  <c r="P137" i="69" s="1"/>
  <c r="AL82" i="11" a="1"/>
  <c r="AL82" i="11" s="1"/>
  <c r="E83" i="32" s="1"/>
  <c r="AP92" i="59" a="1"/>
  <c r="AP92" i="59" s="1"/>
  <c r="E93" i="50" s="1"/>
  <c r="AG134" i="69" l="1"/>
  <c r="AB135" i="69"/>
  <c r="AC135" i="69" s="1"/>
  <c r="AD135" i="69" s="1"/>
  <c r="AD91" i="50"/>
  <c r="AG91" i="50" s="1"/>
  <c r="X150" i="57"/>
  <c r="AB150" i="57" s="1"/>
  <c r="AG152" i="57"/>
  <c r="AA149" i="57"/>
  <c r="AF149" i="57"/>
  <c r="M153" i="53"/>
  <c r="AC153" i="53" s="1"/>
  <c r="O153" i="53"/>
  <c r="AP137" i="69"/>
  <c r="N137" i="69"/>
  <c r="U137" i="69" s="1"/>
  <c r="AJ151" i="57"/>
  <c r="AD151" i="57"/>
  <c r="Q151" i="57"/>
  <c r="T151" i="57" s="1"/>
  <c r="R151" i="57"/>
  <c r="AC151" i="57"/>
  <c r="AE151" i="57"/>
  <c r="AQ151" i="57"/>
  <c r="M152" i="57"/>
  <c r="AK152" i="57" s="1"/>
  <c r="Q92" i="50"/>
  <c r="P92" i="50" s="1"/>
  <c r="N153" i="53"/>
  <c r="T83" i="32"/>
  <c r="O83" i="32"/>
  <c r="O93" i="50"/>
  <c r="T93" i="50"/>
  <c r="AA151" i="53"/>
  <c r="AB151" i="53"/>
  <c r="AP89" i="50"/>
  <c r="AJ91" i="50"/>
  <c r="C91" i="50"/>
  <c r="S92" i="50"/>
  <c r="Z92" i="50" s="1"/>
  <c r="W91" i="50"/>
  <c r="X90" i="50"/>
  <c r="V91" i="50"/>
  <c r="AF136" i="69"/>
  <c r="Q136" i="69"/>
  <c r="O153" i="57"/>
  <c r="P153" i="57"/>
  <c r="AH90" i="50"/>
  <c r="AI90" i="50" s="1"/>
  <c r="AG135" i="69"/>
  <c r="O138" i="69"/>
  <c r="AO137" i="69"/>
  <c r="AK93" i="50"/>
  <c r="AE152" i="53"/>
  <c r="AF151" i="53"/>
  <c r="AK83" i="32"/>
  <c r="AM92" i="50"/>
  <c r="R152" i="53"/>
  <c r="X152" i="53" s="1"/>
  <c r="AL90" i="50"/>
  <c r="AY136" i="69"/>
  <c r="L153" i="57"/>
  <c r="AG152" i="53"/>
  <c r="AH152" i="53"/>
  <c r="AT152" i="53"/>
  <c r="N153" i="57"/>
  <c r="AH136" i="69"/>
  <c r="AD152" i="53"/>
  <c r="Q152" i="53"/>
  <c r="D153" i="53"/>
  <c r="H153" i="53"/>
  <c r="F153" i="53"/>
  <c r="L153" i="53"/>
  <c r="I153" i="53"/>
  <c r="C153" i="53"/>
  <c r="K153" i="53"/>
  <c r="E153" i="53"/>
  <c r="J153" i="53"/>
  <c r="P153" i="53"/>
  <c r="AK152" i="52" a="1"/>
  <c r="AK152" i="52" s="1"/>
  <c r="B154" i="53" s="1"/>
  <c r="G153" i="53"/>
  <c r="J93" i="50"/>
  <c r="M93" i="50"/>
  <c r="I93" i="50"/>
  <c r="B93" i="50"/>
  <c r="R93" i="50" s="1"/>
  <c r="F93" i="50"/>
  <c r="U93" i="50" s="1"/>
  <c r="N93" i="50"/>
  <c r="L93" i="50"/>
  <c r="G93" i="50"/>
  <c r="H93" i="50"/>
  <c r="K93" i="50"/>
  <c r="A93" i="50"/>
  <c r="E153" i="57"/>
  <c r="J153" i="57"/>
  <c r="I153" i="57"/>
  <c r="D153" i="57"/>
  <c r="K153" i="57"/>
  <c r="G153" i="57"/>
  <c r="H153" i="57"/>
  <c r="C153" i="57"/>
  <c r="F153" i="57"/>
  <c r="AN152" i="55" a="1"/>
  <c r="AN152" i="55" s="1"/>
  <c r="B154" i="57" s="1"/>
  <c r="AE136" i="69"/>
  <c r="R136" i="69"/>
  <c r="S136" i="69" s="1"/>
  <c r="Y136" i="69" s="1"/>
  <c r="C138" i="69"/>
  <c r="P138" i="69" s="1"/>
  <c r="D137" i="69"/>
  <c r="E137" i="69" s="1"/>
  <c r="F137" i="69" s="1"/>
  <c r="G137" i="69" s="1"/>
  <c r="H137" i="69" s="1"/>
  <c r="I137" i="69" s="1"/>
  <c r="J137" i="69" s="1"/>
  <c r="K137" i="69" s="1"/>
  <c r="M137" i="69" s="1"/>
  <c r="AR138" i="67" a="1"/>
  <c r="AR138" i="67" s="1"/>
  <c r="B139" i="69"/>
  <c r="L139" i="69" s="1"/>
  <c r="AL83" i="11" a="1"/>
  <c r="AL83" i="11" s="1"/>
  <c r="E84" i="32" s="1"/>
  <c r="AP93" i="59" a="1"/>
  <c r="AP93" i="59" s="1"/>
  <c r="E94" i="50" s="1"/>
  <c r="AD92" i="50" l="1"/>
  <c r="AG92" i="50" s="1"/>
  <c r="X151" i="57"/>
  <c r="AB151" i="57" s="1"/>
  <c r="AG153" i="57"/>
  <c r="M154" i="53"/>
  <c r="AC154" i="53" s="1"/>
  <c r="O154" i="53"/>
  <c r="AP138" i="69"/>
  <c r="N138" i="69"/>
  <c r="U138" i="69" s="1"/>
  <c r="AF150" i="57"/>
  <c r="AA150" i="57"/>
  <c r="AJ152" i="57"/>
  <c r="AQ152" i="57"/>
  <c r="Q152" i="57"/>
  <c r="T152" i="57" s="1"/>
  <c r="AD152" i="57"/>
  <c r="R152" i="57"/>
  <c r="AC152" i="57"/>
  <c r="AE152" i="57"/>
  <c r="M153" i="57"/>
  <c r="AK153" i="57" s="1"/>
  <c r="Q93" i="50"/>
  <c r="P93" i="50" s="1"/>
  <c r="N154" i="53"/>
  <c r="O84" i="32"/>
  <c r="T84" i="32"/>
  <c r="T94" i="50"/>
  <c r="O94" i="50"/>
  <c r="AA152" i="53"/>
  <c r="AB152" i="53"/>
  <c r="AP90" i="50"/>
  <c r="AJ92" i="50"/>
  <c r="C92" i="50"/>
  <c r="S93" i="50"/>
  <c r="Z93" i="50" s="1"/>
  <c r="W92" i="50"/>
  <c r="X91" i="50"/>
  <c r="V92" i="50"/>
  <c r="AF137" i="69"/>
  <c r="Q137" i="69"/>
  <c r="O154" i="57"/>
  <c r="P154" i="57"/>
  <c r="AH91" i="50"/>
  <c r="AI91" i="50" s="1"/>
  <c r="AB136" i="69"/>
  <c r="AG136" i="69"/>
  <c r="AO138" i="69"/>
  <c r="O139" i="69"/>
  <c r="AK94" i="50"/>
  <c r="AF152" i="53"/>
  <c r="AE153" i="53"/>
  <c r="AK84" i="32"/>
  <c r="AM93" i="50"/>
  <c r="R153" i="53"/>
  <c r="X153" i="53" s="1"/>
  <c r="AL91" i="50"/>
  <c r="AY137" i="69"/>
  <c r="L154" i="57"/>
  <c r="AG153" i="53"/>
  <c r="AH153" i="53"/>
  <c r="AT153" i="53"/>
  <c r="N154" i="57"/>
  <c r="P154" i="53"/>
  <c r="AH137" i="69"/>
  <c r="AD153" i="53"/>
  <c r="Q153" i="53"/>
  <c r="AK153" i="52" a="1"/>
  <c r="AK153" i="52" s="1"/>
  <c r="B155" i="53" s="1"/>
  <c r="D154" i="53"/>
  <c r="H154" i="53"/>
  <c r="E154" i="53"/>
  <c r="F154" i="53"/>
  <c r="L154" i="53"/>
  <c r="C154" i="53"/>
  <c r="G154" i="53"/>
  <c r="J154" i="53"/>
  <c r="I154" i="53"/>
  <c r="K154" i="53"/>
  <c r="F94" i="50"/>
  <c r="U94" i="50" s="1"/>
  <c r="J94" i="50"/>
  <c r="K94" i="50"/>
  <c r="M94" i="50"/>
  <c r="A94" i="50"/>
  <c r="L94" i="50"/>
  <c r="B94" i="50"/>
  <c r="R94" i="50" s="1"/>
  <c r="H94" i="50"/>
  <c r="I94" i="50"/>
  <c r="G94" i="50"/>
  <c r="N94" i="50"/>
  <c r="J154" i="57"/>
  <c r="G154" i="57"/>
  <c r="D154" i="57"/>
  <c r="C154" i="57"/>
  <c r="K154" i="57"/>
  <c r="F154" i="57"/>
  <c r="I154" i="57"/>
  <c r="E154" i="57"/>
  <c r="H154" i="57"/>
  <c r="AN153" i="55" a="1"/>
  <c r="AN153" i="55" s="1"/>
  <c r="B155" i="57" s="1"/>
  <c r="C139" i="69"/>
  <c r="P139" i="69" s="1"/>
  <c r="D138" i="69"/>
  <c r="E138" i="69" s="1"/>
  <c r="F138" i="69" s="1"/>
  <c r="G138" i="69" s="1"/>
  <c r="H138" i="69" s="1"/>
  <c r="I138" i="69" s="1"/>
  <c r="J138" i="69" s="1"/>
  <c r="K138" i="69" s="1"/>
  <c r="M138" i="69" s="1"/>
  <c r="AR139" i="67" a="1"/>
  <c r="AR139" i="67" s="1"/>
  <c r="B140" i="69"/>
  <c r="L140" i="69" s="1"/>
  <c r="R137" i="69"/>
  <c r="S137" i="69" s="1"/>
  <c r="AE137" i="69"/>
  <c r="AL84" i="11" a="1"/>
  <c r="AL84" i="11" s="1"/>
  <c r="E85" i="32" s="1"/>
  <c r="AP94" i="59" a="1"/>
  <c r="AP94" i="59" s="1"/>
  <c r="E95" i="50" s="1"/>
  <c r="X152" i="57" l="1"/>
  <c r="AB152" i="57" s="1"/>
  <c r="Y137" i="69"/>
  <c r="AB137" i="69" s="1"/>
  <c r="AC137" i="69" s="1"/>
  <c r="AD137" i="69" s="1"/>
  <c r="AD93" i="50"/>
  <c r="AG93" i="50" s="1"/>
  <c r="AG154" i="57"/>
  <c r="AF151" i="57"/>
  <c r="M155" i="53"/>
  <c r="AC155" i="53" s="1"/>
  <c r="O155" i="53"/>
  <c r="AP139" i="69"/>
  <c r="N139" i="69"/>
  <c r="U139" i="69" s="1"/>
  <c r="AA151" i="57"/>
  <c r="Q153" i="57"/>
  <c r="T153" i="57" s="1"/>
  <c r="R153" i="57"/>
  <c r="AE153" i="57"/>
  <c r="AQ153" i="57"/>
  <c r="AD153" i="57"/>
  <c r="AJ153" i="57"/>
  <c r="AC153" i="57"/>
  <c r="M154" i="57"/>
  <c r="AK154" i="57" s="1"/>
  <c r="Q94" i="50"/>
  <c r="P94" i="50" s="1"/>
  <c r="N155" i="53"/>
  <c r="O85" i="32"/>
  <c r="T85" i="32"/>
  <c r="T95" i="50"/>
  <c r="O95" i="50"/>
  <c r="AA153" i="53"/>
  <c r="AB153" i="53"/>
  <c r="AP91" i="50"/>
  <c r="AJ93" i="50"/>
  <c r="C93" i="50"/>
  <c r="S94" i="50"/>
  <c r="Z94" i="50" s="1"/>
  <c r="W93" i="50"/>
  <c r="X92" i="50"/>
  <c r="V93" i="50"/>
  <c r="AF138" i="69"/>
  <c r="Q138" i="69"/>
  <c r="O155" i="57"/>
  <c r="P155" i="57"/>
  <c r="AC136" i="69"/>
  <c r="AD136" i="69" s="1"/>
  <c r="AH92" i="50"/>
  <c r="AI92" i="50" s="1"/>
  <c r="O140" i="69"/>
  <c r="AO139" i="69"/>
  <c r="AK95" i="50"/>
  <c r="AE154" i="53"/>
  <c r="AF153" i="53"/>
  <c r="AK85" i="32"/>
  <c r="AM94" i="50"/>
  <c r="R154" i="53"/>
  <c r="X154" i="53" s="1"/>
  <c r="AL92" i="50"/>
  <c r="AY138" i="69"/>
  <c r="L155" i="57"/>
  <c r="AH154" i="53"/>
  <c r="AT154" i="53"/>
  <c r="AG154" i="53"/>
  <c r="N155" i="57"/>
  <c r="P155" i="53"/>
  <c r="AH138" i="69"/>
  <c r="AD154" i="53"/>
  <c r="AK154" i="52" a="1"/>
  <c r="AK154" i="52" s="1"/>
  <c r="B156" i="53" s="1"/>
  <c r="Q154" i="53"/>
  <c r="C155" i="53"/>
  <c r="H155" i="53"/>
  <c r="I155" i="53"/>
  <c r="K155" i="53"/>
  <c r="E155" i="53"/>
  <c r="D155" i="53"/>
  <c r="L155" i="53"/>
  <c r="F155" i="53"/>
  <c r="J155" i="53"/>
  <c r="G155" i="53"/>
  <c r="B95" i="50"/>
  <c r="R95" i="50" s="1"/>
  <c r="L95" i="50"/>
  <c r="A95" i="50"/>
  <c r="J95" i="50"/>
  <c r="F95" i="50"/>
  <c r="U95" i="50" s="1"/>
  <c r="M95" i="50"/>
  <c r="N95" i="50"/>
  <c r="I95" i="50"/>
  <c r="K95" i="50"/>
  <c r="G95" i="50"/>
  <c r="H95" i="50"/>
  <c r="J155" i="57"/>
  <c r="I155" i="57"/>
  <c r="F155" i="57"/>
  <c r="E155" i="57"/>
  <c r="D155" i="57"/>
  <c r="C155" i="57"/>
  <c r="H155" i="57"/>
  <c r="K155" i="57"/>
  <c r="G155" i="57"/>
  <c r="AN154" i="55" a="1"/>
  <c r="AN154" i="55" s="1"/>
  <c r="B156" i="57" s="1"/>
  <c r="R138" i="69"/>
  <c r="S138" i="69" s="1"/>
  <c r="Y138" i="69" s="1"/>
  <c r="AE138" i="69"/>
  <c r="AR140" i="67" a="1"/>
  <c r="AR140" i="67" s="1"/>
  <c r="B141" i="69"/>
  <c r="L141" i="69" s="1"/>
  <c r="C140" i="69"/>
  <c r="P140" i="69" s="1"/>
  <c r="D139" i="69"/>
  <c r="E139" i="69" s="1"/>
  <c r="F139" i="69" s="1"/>
  <c r="G139" i="69" s="1"/>
  <c r="H139" i="69" s="1"/>
  <c r="I139" i="69" s="1"/>
  <c r="J139" i="69" s="1"/>
  <c r="K139" i="69" s="1"/>
  <c r="M139" i="69" s="1"/>
  <c r="AL85" i="11" a="1"/>
  <c r="AL85" i="11" s="1"/>
  <c r="E86" i="32" s="1"/>
  <c r="AP95" i="59" a="1"/>
  <c r="AP95" i="59" s="1"/>
  <c r="E96" i="50" s="1"/>
  <c r="AG137" i="69" l="1"/>
  <c r="AD94" i="50"/>
  <c r="AG94" i="50" s="1"/>
  <c r="X153" i="57"/>
  <c r="AB153" i="57" s="1"/>
  <c r="AG155" i="57"/>
  <c r="AF152" i="57"/>
  <c r="M156" i="53"/>
  <c r="AC156" i="53" s="1"/>
  <c r="O156" i="53"/>
  <c r="AP140" i="69"/>
  <c r="N140" i="69"/>
  <c r="U140" i="69" s="1"/>
  <c r="AA152" i="57"/>
  <c r="Q154" i="57"/>
  <c r="T154" i="57" s="1"/>
  <c r="AJ154" i="57"/>
  <c r="AD154" i="57"/>
  <c r="R154" i="57"/>
  <c r="AC154" i="57"/>
  <c r="AE154" i="57"/>
  <c r="AQ154" i="57"/>
  <c r="M155" i="57"/>
  <c r="AK155" i="57" s="1"/>
  <c r="Q95" i="50"/>
  <c r="P95" i="50" s="1"/>
  <c r="N156" i="53"/>
  <c r="T86" i="32"/>
  <c r="O86" i="32"/>
  <c r="O96" i="50"/>
  <c r="T96" i="50"/>
  <c r="AA154" i="53"/>
  <c r="AB154" i="53"/>
  <c r="AP92" i="50"/>
  <c r="C94" i="50"/>
  <c r="AJ94" i="50"/>
  <c r="S95" i="50"/>
  <c r="Z95" i="50" s="1"/>
  <c r="W94" i="50"/>
  <c r="X93" i="50"/>
  <c r="V94" i="50"/>
  <c r="AF139" i="69"/>
  <c r="Q139" i="69"/>
  <c r="O156" i="57"/>
  <c r="P156" i="57"/>
  <c r="AH93" i="50"/>
  <c r="AI93" i="50" s="1"/>
  <c r="AB138" i="69"/>
  <c r="AG138" i="69"/>
  <c r="AO140" i="69"/>
  <c r="O141" i="69"/>
  <c r="AK96" i="50"/>
  <c r="AE155" i="53"/>
  <c r="AF154" i="53"/>
  <c r="AK86" i="32"/>
  <c r="AM95" i="50"/>
  <c r="R155" i="53"/>
  <c r="X155" i="53" s="1"/>
  <c r="AL93" i="50"/>
  <c r="AY139" i="69"/>
  <c r="L156" i="57"/>
  <c r="AH155" i="53"/>
  <c r="AT155" i="53"/>
  <c r="AG155" i="53"/>
  <c r="N156" i="57"/>
  <c r="AH139" i="69"/>
  <c r="Q155" i="53"/>
  <c r="AD155" i="53"/>
  <c r="L156" i="53"/>
  <c r="P156" i="53"/>
  <c r="C156" i="53"/>
  <c r="E156" i="53"/>
  <c r="G156" i="53"/>
  <c r="H156" i="53"/>
  <c r="D156" i="53"/>
  <c r="I156" i="53"/>
  <c r="K156" i="53"/>
  <c r="AK155" i="52" a="1"/>
  <c r="AK155" i="52" s="1"/>
  <c r="B157" i="53" s="1"/>
  <c r="J156" i="53"/>
  <c r="F156" i="53"/>
  <c r="L96" i="50"/>
  <c r="H96" i="50"/>
  <c r="A96" i="50"/>
  <c r="K96" i="50"/>
  <c r="B96" i="50"/>
  <c r="R96" i="50" s="1"/>
  <c r="I96" i="50"/>
  <c r="M96" i="50"/>
  <c r="F96" i="50"/>
  <c r="U96" i="50" s="1"/>
  <c r="G96" i="50"/>
  <c r="J96" i="50"/>
  <c r="N96" i="50"/>
  <c r="K156" i="57"/>
  <c r="H156" i="57"/>
  <c r="F156" i="57"/>
  <c r="C156" i="57"/>
  <c r="I156" i="57"/>
  <c r="E156" i="57"/>
  <c r="G156" i="57"/>
  <c r="D156" i="57"/>
  <c r="J156" i="57"/>
  <c r="AN155" i="55" a="1"/>
  <c r="AN155" i="55" s="1"/>
  <c r="B157" i="57" s="1"/>
  <c r="C141" i="69"/>
  <c r="P141" i="69" s="1"/>
  <c r="AE139" i="69"/>
  <c r="R139" i="69"/>
  <c r="S139" i="69" s="1"/>
  <c r="D140" i="69"/>
  <c r="E140" i="69" s="1"/>
  <c r="F140" i="69" s="1"/>
  <c r="G140" i="69" s="1"/>
  <c r="H140" i="69" s="1"/>
  <c r="I140" i="69" s="1"/>
  <c r="J140" i="69" s="1"/>
  <c r="K140" i="69" s="1"/>
  <c r="M140" i="69" s="1"/>
  <c r="AR141" i="67" a="1"/>
  <c r="AR141" i="67" s="1"/>
  <c r="B142" i="69"/>
  <c r="L142" i="69" s="1"/>
  <c r="AL86" i="11" a="1"/>
  <c r="AL86" i="11" s="1"/>
  <c r="E87" i="32" s="1"/>
  <c r="AP96" i="59" a="1"/>
  <c r="AP96" i="59" s="1"/>
  <c r="E97" i="50" s="1"/>
  <c r="Y139" i="69" l="1"/>
  <c r="AB139" i="69" s="1"/>
  <c r="AC139" i="69" s="1"/>
  <c r="AD139" i="69" s="1"/>
  <c r="AD95" i="50"/>
  <c r="AG95" i="50" s="1"/>
  <c r="X154" i="57"/>
  <c r="AB154" i="57" s="1"/>
  <c r="AG156" i="57"/>
  <c r="Q155" i="57"/>
  <c r="T155" i="57" s="1"/>
  <c r="M157" i="53"/>
  <c r="AC157" i="53" s="1"/>
  <c r="O157" i="53"/>
  <c r="AP141" i="69"/>
  <c r="N141" i="69"/>
  <c r="U141" i="69" s="1"/>
  <c r="AF153" i="57"/>
  <c r="AQ155" i="57"/>
  <c r="AA153" i="57"/>
  <c r="AD155" i="57"/>
  <c r="AJ155" i="57"/>
  <c r="R155" i="57"/>
  <c r="AC155" i="57"/>
  <c r="AE155" i="57"/>
  <c r="M156" i="57"/>
  <c r="AK156" i="57" s="1"/>
  <c r="Q96" i="50"/>
  <c r="P96" i="50" s="1"/>
  <c r="N157" i="53"/>
  <c r="T87" i="32"/>
  <c r="O87" i="32"/>
  <c r="O97" i="50"/>
  <c r="T97" i="50"/>
  <c r="AA155" i="53"/>
  <c r="AB155" i="53"/>
  <c r="AP93" i="50"/>
  <c r="AJ95" i="50"/>
  <c r="C95" i="50"/>
  <c r="S96" i="50"/>
  <c r="Z96" i="50" s="1"/>
  <c r="W95" i="50"/>
  <c r="X94" i="50"/>
  <c r="V95" i="50"/>
  <c r="AF140" i="69"/>
  <c r="Q140" i="69"/>
  <c r="O157" i="57"/>
  <c r="P157" i="57"/>
  <c r="AC138" i="69"/>
  <c r="AD138" i="69" s="1"/>
  <c r="AH94" i="50"/>
  <c r="AI94" i="50" s="1"/>
  <c r="O142" i="69"/>
  <c r="AO141" i="69"/>
  <c r="AK97" i="50"/>
  <c r="AE156" i="53"/>
  <c r="AF155" i="53"/>
  <c r="AK87" i="32"/>
  <c r="AM96" i="50"/>
  <c r="R156" i="53"/>
  <c r="X156" i="53" s="1"/>
  <c r="AL94" i="50"/>
  <c r="AY140" i="69"/>
  <c r="L157" i="57"/>
  <c r="AD156" i="53"/>
  <c r="AH156" i="53"/>
  <c r="AT156" i="53"/>
  <c r="AG156" i="53"/>
  <c r="N157" i="57"/>
  <c r="I157" i="53"/>
  <c r="Q156" i="53"/>
  <c r="AH140" i="69"/>
  <c r="K157" i="53"/>
  <c r="P157" i="53"/>
  <c r="J157" i="53"/>
  <c r="F157" i="53"/>
  <c r="D157" i="53"/>
  <c r="E157" i="53"/>
  <c r="C157" i="53"/>
  <c r="H157" i="53"/>
  <c r="AK156" i="52" a="1"/>
  <c r="AK156" i="52" s="1"/>
  <c r="B158" i="53" s="1"/>
  <c r="G157" i="53"/>
  <c r="L157" i="53"/>
  <c r="I97" i="50"/>
  <c r="L97" i="50"/>
  <c r="K97" i="50"/>
  <c r="M97" i="50"/>
  <c r="H97" i="50"/>
  <c r="B97" i="50"/>
  <c r="R97" i="50" s="1"/>
  <c r="J97" i="50"/>
  <c r="A97" i="50"/>
  <c r="N97" i="50"/>
  <c r="G97" i="50"/>
  <c r="F97" i="50"/>
  <c r="U97" i="50" s="1"/>
  <c r="J157" i="57"/>
  <c r="H157" i="57"/>
  <c r="E157" i="57"/>
  <c r="C157" i="57"/>
  <c r="I157" i="57"/>
  <c r="D157" i="57"/>
  <c r="F157" i="57"/>
  <c r="K157" i="57"/>
  <c r="G157" i="57"/>
  <c r="AN156" i="55" a="1"/>
  <c r="AN156" i="55" s="1"/>
  <c r="B158" i="57" s="1"/>
  <c r="C142" i="69"/>
  <c r="P142" i="69" s="1"/>
  <c r="D141" i="69"/>
  <c r="E141" i="69" s="1"/>
  <c r="F141" i="69" s="1"/>
  <c r="G141" i="69" s="1"/>
  <c r="H141" i="69" s="1"/>
  <c r="I141" i="69" s="1"/>
  <c r="J141" i="69" s="1"/>
  <c r="K141" i="69" s="1"/>
  <c r="M141" i="69" s="1"/>
  <c r="AE140" i="69"/>
  <c r="R140" i="69"/>
  <c r="S140" i="69" s="1"/>
  <c r="Y140" i="69" s="1"/>
  <c r="AR142" i="67" a="1"/>
  <c r="AR142" i="67" s="1"/>
  <c r="B143" i="69"/>
  <c r="L143" i="69" s="1"/>
  <c r="AL87" i="11" a="1"/>
  <c r="AL87" i="11" s="1"/>
  <c r="E88" i="32" s="1"/>
  <c r="AP97" i="59" a="1"/>
  <c r="AP97" i="59" s="1"/>
  <c r="E98" i="50" s="1"/>
  <c r="B3" i="36"/>
  <c r="AG139" i="69" l="1"/>
  <c r="AD96" i="50"/>
  <c r="AG96" i="50" s="1"/>
  <c r="X155" i="57"/>
  <c r="AA155" i="57" s="1"/>
  <c r="AG157" i="57"/>
  <c r="Q156" i="57"/>
  <c r="T156" i="57" s="1"/>
  <c r="R156" i="57"/>
  <c r="AC156" i="57"/>
  <c r="M158" i="53"/>
  <c r="AC158" i="53" s="1"/>
  <c r="O158" i="53"/>
  <c r="AP142" i="69"/>
  <c r="N142" i="69"/>
  <c r="U142" i="69" s="1"/>
  <c r="AF154" i="57"/>
  <c r="AQ156" i="57"/>
  <c r="AA154" i="57"/>
  <c r="AE156" i="57"/>
  <c r="AD156" i="57"/>
  <c r="AJ156" i="57"/>
  <c r="M157" i="57"/>
  <c r="AK157" i="57" s="1"/>
  <c r="Q97" i="50"/>
  <c r="P97" i="50" s="1"/>
  <c r="N158" i="53"/>
  <c r="O88" i="32"/>
  <c r="T88" i="32"/>
  <c r="T98" i="50"/>
  <c r="O98" i="50"/>
  <c r="AA156" i="53"/>
  <c r="AB156" i="53"/>
  <c r="AP94" i="50"/>
  <c r="AJ96" i="50"/>
  <c r="C96" i="50"/>
  <c r="S97" i="50"/>
  <c r="Z97" i="50" s="1"/>
  <c r="W96" i="50"/>
  <c r="X95" i="50"/>
  <c r="V96" i="50"/>
  <c r="AF141" i="69"/>
  <c r="Q141" i="69"/>
  <c r="O158" i="57"/>
  <c r="P158" i="57"/>
  <c r="AH95" i="50"/>
  <c r="AI95" i="50" s="1"/>
  <c r="AB140" i="69"/>
  <c r="AG140" i="69"/>
  <c r="O143" i="69"/>
  <c r="AO142" i="69"/>
  <c r="AK98" i="50"/>
  <c r="AE157" i="53"/>
  <c r="AF156" i="53"/>
  <c r="AK88" i="32"/>
  <c r="AM97" i="50"/>
  <c r="R157" i="53"/>
  <c r="X157" i="53" s="1"/>
  <c r="AL95" i="50"/>
  <c r="AY141" i="69"/>
  <c r="L158" i="57"/>
  <c r="AG157" i="53"/>
  <c r="AH157" i="53"/>
  <c r="AT157" i="53"/>
  <c r="N158" i="57"/>
  <c r="AH141" i="69"/>
  <c r="AD157" i="53"/>
  <c r="Q157" i="53"/>
  <c r="I158" i="53"/>
  <c r="D158" i="53"/>
  <c r="H158" i="53"/>
  <c r="AK157" i="52" a="1"/>
  <c r="AK157" i="52" s="1"/>
  <c r="B159" i="53" s="1"/>
  <c r="G158" i="53"/>
  <c r="K158" i="53"/>
  <c r="F158" i="53"/>
  <c r="C158" i="53"/>
  <c r="P158" i="53"/>
  <c r="L158" i="53"/>
  <c r="J158" i="53"/>
  <c r="E158" i="53"/>
  <c r="K98" i="50"/>
  <c r="M98" i="50"/>
  <c r="A98" i="50"/>
  <c r="G98" i="50"/>
  <c r="F98" i="50"/>
  <c r="U98" i="50" s="1"/>
  <c r="J98" i="50"/>
  <c r="I98" i="50"/>
  <c r="B98" i="50"/>
  <c r="R98" i="50" s="1"/>
  <c r="L98" i="50"/>
  <c r="H98" i="50"/>
  <c r="N98" i="50"/>
  <c r="J158" i="57"/>
  <c r="D158" i="57"/>
  <c r="K158" i="57"/>
  <c r="F158" i="57"/>
  <c r="H158" i="57"/>
  <c r="C158" i="57"/>
  <c r="I158" i="57"/>
  <c r="G158" i="57"/>
  <c r="E158" i="57"/>
  <c r="AN157" i="55" a="1"/>
  <c r="AN157" i="55" s="1"/>
  <c r="B159" i="57" s="1"/>
  <c r="AR143" i="67" a="1"/>
  <c r="AR143" i="67" s="1"/>
  <c r="B144" i="69"/>
  <c r="L144" i="69" s="1"/>
  <c r="AE141" i="69"/>
  <c r="R141" i="69"/>
  <c r="S141" i="69" s="1"/>
  <c r="Y141" i="69" s="1"/>
  <c r="D142" i="69"/>
  <c r="E142" i="69" s="1"/>
  <c r="F142" i="69" s="1"/>
  <c r="G142" i="69" s="1"/>
  <c r="H142" i="69" s="1"/>
  <c r="I142" i="69" s="1"/>
  <c r="J142" i="69" s="1"/>
  <c r="K142" i="69" s="1"/>
  <c r="M142" i="69" s="1"/>
  <c r="C143" i="69"/>
  <c r="P143" i="69" s="1"/>
  <c r="AL88" i="11" a="1"/>
  <c r="AL88" i="11" s="1"/>
  <c r="E89" i="32" s="1"/>
  <c r="AP98" i="59" a="1"/>
  <c r="AP98" i="59" s="1"/>
  <c r="E99" i="50" s="1"/>
  <c r="E3" i="32"/>
  <c r="AD97" i="50" l="1"/>
  <c r="AG97" i="50" s="1"/>
  <c r="AG158" i="57"/>
  <c r="X156" i="57"/>
  <c r="AB156" i="57" s="1"/>
  <c r="AF155" i="57"/>
  <c r="AB155" i="57"/>
  <c r="M159" i="53"/>
  <c r="AC159" i="53" s="1"/>
  <c r="O159" i="53"/>
  <c r="AP143" i="69"/>
  <c r="N143" i="69"/>
  <c r="U143" i="69" s="1"/>
  <c r="Q157" i="57"/>
  <c r="T157" i="57" s="1"/>
  <c r="AQ157" i="57"/>
  <c r="AJ157" i="57"/>
  <c r="AD157" i="57"/>
  <c r="R157" i="57"/>
  <c r="AE157" i="57"/>
  <c r="AC157" i="57"/>
  <c r="M158" i="57"/>
  <c r="AK158" i="57" s="1"/>
  <c r="Q98" i="50"/>
  <c r="P98" i="50" s="1"/>
  <c r="N159" i="53"/>
  <c r="O89" i="32"/>
  <c r="T89" i="32"/>
  <c r="T99" i="50"/>
  <c r="O99" i="50"/>
  <c r="AA157" i="53"/>
  <c r="AB157" i="53"/>
  <c r="AP95" i="50"/>
  <c r="AJ97" i="50"/>
  <c r="C97" i="50"/>
  <c r="S98" i="50"/>
  <c r="Z98" i="50" s="1"/>
  <c r="W97" i="50"/>
  <c r="X96" i="50"/>
  <c r="V97" i="50"/>
  <c r="AF142" i="69"/>
  <c r="Q142" i="69"/>
  <c r="O159" i="57"/>
  <c r="P159" i="57"/>
  <c r="AC140" i="69"/>
  <c r="AD140" i="69" s="1"/>
  <c r="AH96" i="50"/>
  <c r="AI96" i="50" s="1"/>
  <c r="AB141" i="69"/>
  <c r="AG141" i="69"/>
  <c r="O144" i="69"/>
  <c r="AO143" i="69"/>
  <c r="AK99" i="50"/>
  <c r="AE158" i="53"/>
  <c r="AF157" i="53"/>
  <c r="AK89" i="32"/>
  <c r="AM98" i="50"/>
  <c r="R158" i="53"/>
  <c r="X158" i="53" s="1"/>
  <c r="AL96" i="50"/>
  <c r="AY142" i="69"/>
  <c r="L159" i="57"/>
  <c r="AH158" i="53"/>
  <c r="AT158" i="53"/>
  <c r="AG158" i="53"/>
  <c r="N159" i="57"/>
  <c r="D159" i="53"/>
  <c r="AH142" i="69"/>
  <c r="AD158" i="53"/>
  <c r="Q158" i="53"/>
  <c r="AK158" i="52" a="1"/>
  <c r="AK158" i="52" s="1"/>
  <c r="B160" i="53" s="1"/>
  <c r="C159" i="53"/>
  <c r="I159" i="53"/>
  <c r="H159" i="53"/>
  <c r="L159" i="53"/>
  <c r="G159" i="53"/>
  <c r="E159" i="53"/>
  <c r="F159" i="53"/>
  <c r="K159" i="53"/>
  <c r="P159" i="53"/>
  <c r="J159" i="53"/>
  <c r="K99" i="50"/>
  <c r="I99" i="50"/>
  <c r="N99" i="50"/>
  <c r="B99" i="50"/>
  <c r="R99" i="50" s="1"/>
  <c r="J99" i="50"/>
  <c r="G99" i="50"/>
  <c r="M99" i="50"/>
  <c r="H99" i="50"/>
  <c r="A99" i="50"/>
  <c r="L99" i="50"/>
  <c r="F99" i="50"/>
  <c r="U99" i="50" s="1"/>
  <c r="D159" i="57"/>
  <c r="I159" i="57"/>
  <c r="F159" i="57"/>
  <c r="H159" i="57"/>
  <c r="K159" i="57"/>
  <c r="G159" i="57"/>
  <c r="C159" i="57"/>
  <c r="J159" i="57"/>
  <c r="E159" i="57"/>
  <c r="AN158" i="55" a="1"/>
  <c r="AN158" i="55" s="1"/>
  <c r="B160" i="57" s="1"/>
  <c r="D143" i="69"/>
  <c r="E143" i="69" s="1"/>
  <c r="F143" i="69" s="1"/>
  <c r="G143" i="69" s="1"/>
  <c r="H143" i="69" s="1"/>
  <c r="I143" i="69" s="1"/>
  <c r="J143" i="69" s="1"/>
  <c r="K143" i="69" s="1"/>
  <c r="M143" i="69" s="1"/>
  <c r="C144" i="69"/>
  <c r="P144" i="69" s="1"/>
  <c r="AE142" i="69"/>
  <c r="R142" i="69"/>
  <c r="S142" i="69" s="1"/>
  <c r="Y142" i="69" s="1"/>
  <c r="AR144" i="67" a="1"/>
  <c r="AR144" i="67" s="1"/>
  <c r="B145" i="69"/>
  <c r="L145" i="69" s="1"/>
  <c r="AL89" i="11" a="1"/>
  <c r="AL89" i="11" s="1"/>
  <c r="E90" i="32" s="1"/>
  <c r="AP99" i="59" a="1"/>
  <c r="AP99" i="59" s="1"/>
  <c r="E100" i="50" s="1"/>
  <c r="AB142" i="69" l="1"/>
  <c r="AC142" i="69" s="1"/>
  <c r="AD142" i="69" s="1"/>
  <c r="AD98" i="50"/>
  <c r="AG98" i="50" s="1"/>
  <c r="X157" i="57"/>
  <c r="AB157" i="57" s="1"/>
  <c r="AJ158" i="57"/>
  <c r="AA156" i="57"/>
  <c r="AG159" i="57"/>
  <c r="AF156" i="57"/>
  <c r="AD158" i="57"/>
  <c r="M160" i="53"/>
  <c r="AC160" i="53" s="1"/>
  <c r="O160" i="53"/>
  <c r="AP144" i="69"/>
  <c r="N144" i="69"/>
  <c r="U144" i="69" s="1"/>
  <c r="Q158" i="57"/>
  <c r="T158" i="57" s="1"/>
  <c r="AQ158" i="57"/>
  <c r="R158" i="57"/>
  <c r="AC158" i="57"/>
  <c r="AE158" i="57"/>
  <c r="M159" i="57"/>
  <c r="AK159" i="57" s="1"/>
  <c r="Q99" i="50"/>
  <c r="P99" i="50" s="1"/>
  <c r="N160" i="53"/>
  <c r="T90" i="32"/>
  <c r="O90" i="32"/>
  <c r="O100" i="50"/>
  <c r="T100" i="50"/>
  <c r="AA158" i="53"/>
  <c r="AB158" i="53"/>
  <c r="AP96" i="50"/>
  <c r="C98" i="50"/>
  <c r="S99" i="50"/>
  <c r="Z99" i="50" s="1"/>
  <c r="AJ98" i="50"/>
  <c r="W98" i="50"/>
  <c r="X97" i="50"/>
  <c r="V98" i="50"/>
  <c r="AF143" i="69"/>
  <c r="Q143" i="69"/>
  <c r="O160" i="57"/>
  <c r="P160" i="57"/>
  <c r="AC141" i="69"/>
  <c r="AD141" i="69" s="1"/>
  <c r="AH97" i="50"/>
  <c r="AI97" i="50" s="1"/>
  <c r="O145" i="69"/>
  <c r="AO144" i="69"/>
  <c r="AG142" i="69"/>
  <c r="AK100" i="50"/>
  <c r="AE159" i="53"/>
  <c r="AF158" i="53"/>
  <c r="AK90" i="32"/>
  <c r="AM99" i="50"/>
  <c r="R159" i="53"/>
  <c r="X159" i="53" s="1"/>
  <c r="AL97" i="50"/>
  <c r="AY143" i="69"/>
  <c r="L160" i="57"/>
  <c r="AG159" i="53"/>
  <c r="AH159" i="53"/>
  <c r="AT159" i="53"/>
  <c r="N160" i="57"/>
  <c r="AH143" i="69"/>
  <c r="AD159" i="53"/>
  <c r="Q159" i="53"/>
  <c r="AK159" i="52" a="1"/>
  <c r="AK159" i="52" s="1"/>
  <c r="B161" i="53" s="1"/>
  <c r="D160" i="53"/>
  <c r="E160" i="53"/>
  <c r="L160" i="53"/>
  <c r="J160" i="53"/>
  <c r="G160" i="53"/>
  <c r="K160" i="53"/>
  <c r="P160" i="53"/>
  <c r="C160" i="53"/>
  <c r="I160" i="53"/>
  <c r="H160" i="53"/>
  <c r="F160" i="53"/>
  <c r="I100" i="50"/>
  <c r="M100" i="50"/>
  <c r="K100" i="50"/>
  <c r="G100" i="50"/>
  <c r="B100" i="50"/>
  <c r="R100" i="50" s="1"/>
  <c r="H100" i="50"/>
  <c r="A100" i="50"/>
  <c r="J100" i="50"/>
  <c r="L100" i="50"/>
  <c r="N100" i="50"/>
  <c r="F100" i="50"/>
  <c r="U100" i="50" s="1"/>
  <c r="K160" i="57"/>
  <c r="J160" i="57"/>
  <c r="H160" i="57"/>
  <c r="F160" i="57"/>
  <c r="D160" i="57"/>
  <c r="C160" i="57"/>
  <c r="I160" i="57"/>
  <c r="E160" i="57"/>
  <c r="G160" i="57"/>
  <c r="AN159" i="55" a="1"/>
  <c r="AN159" i="55" s="1"/>
  <c r="B161" i="57" s="1"/>
  <c r="C145" i="69"/>
  <c r="P145" i="69" s="1"/>
  <c r="AE143" i="69"/>
  <c r="R143" i="69"/>
  <c r="S143" i="69" s="1"/>
  <c r="AR145" i="67" a="1"/>
  <c r="AR145" i="67" s="1"/>
  <c r="B146" i="69"/>
  <c r="L146" i="69" s="1"/>
  <c r="D144" i="69"/>
  <c r="E144" i="69" s="1"/>
  <c r="F144" i="69" s="1"/>
  <c r="G144" i="69" s="1"/>
  <c r="H144" i="69" s="1"/>
  <c r="I144" i="69" s="1"/>
  <c r="J144" i="69" s="1"/>
  <c r="K144" i="69" s="1"/>
  <c r="M144" i="69" s="1"/>
  <c r="AL90" i="11" a="1"/>
  <c r="AL90" i="11" s="1"/>
  <c r="E91" i="32" s="1"/>
  <c r="AP100" i="59" a="1"/>
  <c r="AP100" i="59" s="1"/>
  <c r="E101" i="50" s="1"/>
  <c r="Y143" i="69" l="1"/>
  <c r="AB143" i="69" s="1"/>
  <c r="AC143" i="69" s="1"/>
  <c r="AD143" i="69" s="1"/>
  <c r="AD99" i="50"/>
  <c r="AG99" i="50" s="1"/>
  <c r="X158" i="57"/>
  <c r="AB158" i="57" s="1"/>
  <c r="AG160" i="57"/>
  <c r="AF157" i="57"/>
  <c r="AA157" i="57"/>
  <c r="M161" i="53"/>
  <c r="AC161" i="53" s="1"/>
  <c r="O161" i="53"/>
  <c r="AP145" i="69"/>
  <c r="N145" i="69"/>
  <c r="U145" i="69" s="1"/>
  <c r="Q159" i="57"/>
  <c r="T159" i="57" s="1"/>
  <c r="AJ159" i="57"/>
  <c r="AC159" i="57"/>
  <c r="R159" i="57"/>
  <c r="AD159" i="57"/>
  <c r="AE159" i="57"/>
  <c r="AQ159" i="57"/>
  <c r="M160" i="57"/>
  <c r="AK160" i="57" s="1"/>
  <c r="Q100" i="50"/>
  <c r="P100" i="50" s="1"/>
  <c r="N161" i="53"/>
  <c r="T91" i="32"/>
  <c r="O91" i="32"/>
  <c r="O101" i="50"/>
  <c r="T101" i="50"/>
  <c r="AA159" i="53"/>
  <c r="AB159" i="53"/>
  <c r="AP97" i="50"/>
  <c r="AJ99" i="50"/>
  <c r="C99" i="50"/>
  <c r="S100" i="50"/>
  <c r="Z100" i="50" s="1"/>
  <c r="W99" i="50"/>
  <c r="X98" i="50"/>
  <c r="V99" i="50"/>
  <c r="AF144" i="69"/>
  <c r="Q144" i="69"/>
  <c r="O161" i="57"/>
  <c r="P161" i="57"/>
  <c r="AH98" i="50"/>
  <c r="AI98" i="50" s="1"/>
  <c r="O146" i="69"/>
  <c r="AO145" i="69"/>
  <c r="AK101" i="50"/>
  <c r="AE160" i="53"/>
  <c r="AF159" i="53"/>
  <c r="AK91" i="32"/>
  <c r="AM100" i="50"/>
  <c r="R160" i="53"/>
  <c r="X160" i="53" s="1"/>
  <c r="AL98" i="50"/>
  <c r="AY144" i="69"/>
  <c r="L161" i="57"/>
  <c r="AG160" i="53"/>
  <c r="AH160" i="53"/>
  <c r="AT160" i="53"/>
  <c r="N161" i="57"/>
  <c r="AH144" i="69"/>
  <c r="AD160" i="53"/>
  <c r="Q160" i="53"/>
  <c r="P161" i="53"/>
  <c r="F161" i="53"/>
  <c r="C161" i="53"/>
  <c r="J161" i="53"/>
  <c r="I161" i="53"/>
  <c r="G161" i="53"/>
  <c r="H161" i="53"/>
  <c r="D161" i="53"/>
  <c r="AK160" i="52" a="1"/>
  <c r="AK160" i="52" s="1"/>
  <c r="B162" i="53" s="1"/>
  <c r="E161" i="53"/>
  <c r="K161" i="53"/>
  <c r="L161" i="53"/>
  <c r="J101" i="50"/>
  <c r="M101" i="50"/>
  <c r="I101" i="50"/>
  <c r="G101" i="50"/>
  <c r="F101" i="50"/>
  <c r="U101" i="50" s="1"/>
  <c r="L101" i="50"/>
  <c r="N101" i="50"/>
  <c r="B101" i="50"/>
  <c r="R101" i="50" s="1"/>
  <c r="H101" i="50"/>
  <c r="K101" i="50"/>
  <c r="A101" i="50"/>
  <c r="J161" i="57"/>
  <c r="E161" i="57"/>
  <c r="K161" i="57"/>
  <c r="G161" i="57"/>
  <c r="C161" i="57"/>
  <c r="F161" i="57"/>
  <c r="I161" i="57"/>
  <c r="H161" i="57"/>
  <c r="D161" i="57"/>
  <c r="AN160" i="55" a="1"/>
  <c r="AN160" i="55" s="1"/>
  <c r="B162" i="57" s="1"/>
  <c r="AE144" i="69"/>
  <c r="R144" i="69"/>
  <c r="S144" i="69" s="1"/>
  <c r="Y144" i="69" s="1"/>
  <c r="C146" i="69"/>
  <c r="P146" i="69" s="1"/>
  <c r="D145" i="69"/>
  <c r="E145" i="69" s="1"/>
  <c r="F145" i="69" s="1"/>
  <c r="G145" i="69" s="1"/>
  <c r="H145" i="69" s="1"/>
  <c r="I145" i="69" s="1"/>
  <c r="J145" i="69" s="1"/>
  <c r="K145" i="69" s="1"/>
  <c r="M145" i="69" s="1"/>
  <c r="AR146" i="67" a="1"/>
  <c r="AR146" i="67" s="1"/>
  <c r="B147" i="69"/>
  <c r="L147" i="69" s="1"/>
  <c r="AL91" i="11" a="1"/>
  <c r="AL91" i="11" s="1"/>
  <c r="E92" i="32" s="1"/>
  <c r="AP101" i="59" a="1"/>
  <c r="AP101" i="59" s="1"/>
  <c r="E102" i="50" s="1"/>
  <c r="E3" i="50"/>
  <c r="AG143" i="69" l="1"/>
  <c r="AD100" i="50"/>
  <c r="AG100" i="50" s="1"/>
  <c r="X159" i="57"/>
  <c r="AB159" i="57" s="1"/>
  <c r="AG161" i="57"/>
  <c r="M162" i="53"/>
  <c r="AC162" i="53" s="1"/>
  <c r="O162" i="53"/>
  <c r="AP146" i="69"/>
  <c r="N146" i="69"/>
  <c r="U146" i="69" s="1"/>
  <c r="AQ160" i="57"/>
  <c r="AF158" i="57"/>
  <c r="AA158" i="57"/>
  <c r="AJ160" i="57"/>
  <c r="Q160" i="57"/>
  <c r="T160" i="57" s="1"/>
  <c r="AD160" i="57"/>
  <c r="R160" i="57"/>
  <c r="AC160" i="57"/>
  <c r="AE160" i="57"/>
  <c r="M161" i="57"/>
  <c r="AK161" i="57" s="1"/>
  <c r="Q101" i="50"/>
  <c r="P101" i="50" s="1"/>
  <c r="N162" i="53"/>
  <c r="O92" i="32"/>
  <c r="T92" i="32"/>
  <c r="T102" i="50"/>
  <c r="O102" i="50"/>
  <c r="AA160" i="53"/>
  <c r="AB160" i="53"/>
  <c r="AP98" i="50"/>
  <c r="C100" i="50"/>
  <c r="S101" i="50"/>
  <c r="Z101" i="50" s="1"/>
  <c r="AJ100" i="50"/>
  <c r="W100" i="50"/>
  <c r="X99" i="50"/>
  <c r="V100" i="50"/>
  <c r="AF145" i="69"/>
  <c r="Q145" i="69"/>
  <c r="O162" i="57"/>
  <c r="P162" i="57"/>
  <c r="AH99" i="50"/>
  <c r="AI99" i="50" s="1"/>
  <c r="AB144" i="69"/>
  <c r="AG144" i="69"/>
  <c r="AO146" i="69"/>
  <c r="O147" i="69"/>
  <c r="AK102" i="50"/>
  <c r="AE161" i="53"/>
  <c r="AF160" i="53"/>
  <c r="AK92" i="32"/>
  <c r="AM101" i="50"/>
  <c r="R161" i="53"/>
  <c r="X161" i="53" s="1"/>
  <c r="AL99" i="50"/>
  <c r="AY145" i="69"/>
  <c r="L162" i="57"/>
  <c r="AH161" i="53"/>
  <c r="AT161" i="53"/>
  <c r="AG161" i="53"/>
  <c r="N162" i="57"/>
  <c r="L162" i="53"/>
  <c r="AH145" i="69"/>
  <c r="Q161" i="53"/>
  <c r="AD161" i="53"/>
  <c r="D162" i="53"/>
  <c r="H162" i="53"/>
  <c r="AK161" i="52" a="1"/>
  <c r="AK161" i="52" s="1"/>
  <c r="B163" i="53" s="1"/>
  <c r="F162" i="53"/>
  <c r="K162" i="53"/>
  <c r="C162" i="53"/>
  <c r="I162" i="53"/>
  <c r="P162" i="53"/>
  <c r="J162" i="53"/>
  <c r="G162" i="53"/>
  <c r="E162" i="53"/>
  <c r="I102" i="50"/>
  <c r="N102" i="50"/>
  <c r="F102" i="50"/>
  <c r="U102" i="50" s="1"/>
  <c r="J102" i="50"/>
  <c r="K102" i="50"/>
  <c r="H102" i="50"/>
  <c r="A102" i="50"/>
  <c r="G102" i="50"/>
  <c r="B102" i="50"/>
  <c r="R102" i="50" s="1"/>
  <c r="M102" i="50"/>
  <c r="L102" i="50"/>
  <c r="J162" i="57"/>
  <c r="G162" i="57"/>
  <c r="D162" i="57"/>
  <c r="I162" i="57"/>
  <c r="E162" i="57"/>
  <c r="H162" i="57"/>
  <c r="C162" i="57"/>
  <c r="K162" i="57"/>
  <c r="F162" i="57"/>
  <c r="AN161" i="55" a="1"/>
  <c r="AN161" i="55" s="1"/>
  <c r="B163" i="57" s="1"/>
  <c r="R145" i="69"/>
  <c r="S145" i="69" s="1"/>
  <c r="Y145" i="69" s="1"/>
  <c r="AE145" i="69"/>
  <c r="D146" i="69"/>
  <c r="E146" i="69" s="1"/>
  <c r="F146" i="69" s="1"/>
  <c r="G146" i="69" s="1"/>
  <c r="H146" i="69" s="1"/>
  <c r="I146" i="69" s="1"/>
  <c r="J146" i="69" s="1"/>
  <c r="K146" i="69" s="1"/>
  <c r="M146" i="69" s="1"/>
  <c r="C147" i="69"/>
  <c r="P147" i="69" s="1"/>
  <c r="AR147" i="67" a="1"/>
  <c r="AR147" i="67" s="1"/>
  <c r="B148" i="69"/>
  <c r="L148" i="69" s="1"/>
  <c r="AL92" i="11" a="1"/>
  <c r="AL92" i="11" s="1"/>
  <c r="E93" i="32" s="1"/>
  <c r="AP102" i="59" a="1"/>
  <c r="AP102" i="59" s="1"/>
  <c r="E103" i="50" s="1"/>
  <c r="D3" i="11"/>
  <c r="X160" i="57" l="1"/>
  <c r="AB160" i="57" s="1"/>
  <c r="AD101" i="50"/>
  <c r="AG101" i="50" s="1"/>
  <c r="AG162" i="57"/>
  <c r="M163" i="53"/>
  <c r="AC163" i="53" s="1"/>
  <c r="O163" i="53"/>
  <c r="AP147" i="69"/>
  <c r="N147" i="69"/>
  <c r="U147" i="69" s="1"/>
  <c r="AA159" i="57"/>
  <c r="AF159" i="57"/>
  <c r="AJ161" i="57"/>
  <c r="AC161" i="57"/>
  <c r="Q161" i="57"/>
  <c r="T161" i="57" s="1"/>
  <c r="AD161" i="57"/>
  <c r="R161" i="57"/>
  <c r="AE161" i="57"/>
  <c r="AQ161" i="57"/>
  <c r="M162" i="57"/>
  <c r="AK162" i="57" s="1"/>
  <c r="Q102" i="50"/>
  <c r="P102" i="50" s="1"/>
  <c r="O12" i="32"/>
  <c r="O13" i="32"/>
  <c r="N163" i="53"/>
  <c r="O93" i="32"/>
  <c r="T93" i="32"/>
  <c r="T103" i="50"/>
  <c r="O103" i="50"/>
  <c r="AA161" i="53"/>
  <c r="AB161" i="53"/>
  <c r="AP99" i="50"/>
  <c r="AJ101" i="50"/>
  <c r="C101" i="50"/>
  <c r="S102" i="50"/>
  <c r="Z102" i="50" s="1"/>
  <c r="W101" i="50"/>
  <c r="X100" i="50"/>
  <c r="V101" i="50"/>
  <c r="AF146" i="69"/>
  <c r="Q146" i="69"/>
  <c r="O163" i="57"/>
  <c r="P163" i="57"/>
  <c r="AC144" i="69"/>
  <c r="AD144" i="69" s="1"/>
  <c r="AH100" i="50"/>
  <c r="AI100" i="50" s="1"/>
  <c r="A13" i="32"/>
  <c r="Q13" i="32" s="1"/>
  <c r="AB145" i="69"/>
  <c r="AG145" i="69"/>
  <c r="AO147" i="69"/>
  <c r="O148" i="69"/>
  <c r="AK103" i="50"/>
  <c r="AF161" i="53"/>
  <c r="AE162" i="53"/>
  <c r="AK93" i="32"/>
  <c r="AM102" i="50"/>
  <c r="R162" i="53"/>
  <c r="X162" i="53" s="1"/>
  <c r="AL100" i="50"/>
  <c r="A12" i="32"/>
  <c r="Q12" i="32" s="1"/>
  <c r="F12" i="32"/>
  <c r="M92" i="32"/>
  <c r="L92" i="32"/>
  <c r="I92" i="32"/>
  <c r="K92" i="32"/>
  <c r="G92" i="32"/>
  <c r="L25" i="32"/>
  <c r="K25" i="32"/>
  <c r="M25" i="32"/>
  <c r="J25" i="32"/>
  <c r="F25" i="32"/>
  <c r="U25" i="32" s="1"/>
  <c r="A25" i="32"/>
  <c r="N25" i="32"/>
  <c r="B25" i="32"/>
  <c r="R25" i="32" s="1"/>
  <c r="G25" i="32"/>
  <c r="H25" i="32"/>
  <c r="I25" i="32"/>
  <c r="A26" i="32"/>
  <c r="M26" i="32"/>
  <c r="B26" i="32"/>
  <c r="R26" i="32" s="1"/>
  <c r="F26" i="32"/>
  <c r="U26" i="32" s="1"/>
  <c r="G26" i="32"/>
  <c r="J26" i="32"/>
  <c r="H26" i="32"/>
  <c r="K26" i="32"/>
  <c r="I26" i="32"/>
  <c r="N26" i="32"/>
  <c r="L26" i="32"/>
  <c r="A27" i="32"/>
  <c r="F27" i="32"/>
  <c r="U27" i="32" s="1"/>
  <c r="B27" i="32"/>
  <c r="R27" i="32" s="1"/>
  <c r="L27" i="32"/>
  <c r="H27" i="32"/>
  <c r="G27" i="32"/>
  <c r="I27" i="32"/>
  <c r="N27" i="32"/>
  <c r="M27" i="32"/>
  <c r="J27" i="32"/>
  <c r="K27" i="32"/>
  <c r="F28" i="32"/>
  <c r="U28" i="32" s="1"/>
  <c r="M28" i="32"/>
  <c r="N28" i="32"/>
  <c r="L28" i="32"/>
  <c r="G28" i="32"/>
  <c r="A28" i="32"/>
  <c r="B28" i="32"/>
  <c r="R28" i="32" s="1"/>
  <c r="H28" i="32"/>
  <c r="J28" i="32"/>
  <c r="K28" i="32"/>
  <c r="I28" i="32"/>
  <c r="L29" i="32"/>
  <c r="M29" i="32"/>
  <c r="F29" i="32"/>
  <c r="U29" i="32" s="1"/>
  <c r="A29" i="32"/>
  <c r="N29" i="32"/>
  <c r="K29" i="32"/>
  <c r="B29" i="32"/>
  <c r="R29" i="32" s="1"/>
  <c r="G29" i="32"/>
  <c r="H29" i="32"/>
  <c r="I29" i="32"/>
  <c r="J29" i="32"/>
  <c r="L30" i="32"/>
  <c r="H30" i="32"/>
  <c r="A30" i="32"/>
  <c r="M30" i="32"/>
  <c r="B30" i="32"/>
  <c r="R30" i="32" s="1"/>
  <c r="F30" i="32"/>
  <c r="U30" i="32" s="1"/>
  <c r="N30" i="32"/>
  <c r="G30" i="32"/>
  <c r="J30" i="32"/>
  <c r="I30" i="32"/>
  <c r="K30" i="32"/>
  <c r="G31" i="32"/>
  <c r="H31" i="32"/>
  <c r="A31" i="32"/>
  <c r="L31" i="32"/>
  <c r="B31" i="32"/>
  <c r="R31" i="32" s="1"/>
  <c r="I31" i="32"/>
  <c r="N31" i="32"/>
  <c r="J31" i="32"/>
  <c r="M31" i="32"/>
  <c r="F31" i="32"/>
  <c r="U31" i="32" s="1"/>
  <c r="K31" i="32"/>
  <c r="N32" i="32"/>
  <c r="M32" i="32"/>
  <c r="G32" i="32"/>
  <c r="K32" i="32"/>
  <c r="A32" i="32"/>
  <c r="I32" i="32"/>
  <c r="F32" i="32"/>
  <c r="U32" i="32" s="1"/>
  <c r="L32" i="32"/>
  <c r="B32" i="32"/>
  <c r="R32" i="32" s="1"/>
  <c r="H32" i="32"/>
  <c r="J32" i="32"/>
  <c r="M33" i="32"/>
  <c r="F33" i="32"/>
  <c r="U33" i="32" s="1"/>
  <c r="A33" i="32"/>
  <c r="N33" i="32"/>
  <c r="B33" i="32"/>
  <c r="R33" i="32" s="1"/>
  <c r="G33" i="32"/>
  <c r="H33" i="32"/>
  <c r="J33" i="32"/>
  <c r="I33" i="32"/>
  <c r="L33" i="32"/>
  <c r="K33" i="32"/>
  <c r="B34" i="32"/>
  <c r="R34" i="32" s="1"/>
  <c r="F34" i="32"/>
  <c r="U34" i="32" s="1"/>
  <c r="N34" i="32"/>
  <c r="G34" i="32"/>
  <c r="J34" i="32"/>
  <c r="K34" i="32"/>
  <c r="I34" i="32"/>
  <c r="H34" i="32"/>
  <c r="L34" i="32"/>
  <c r="A34" i="32"/>
  <c r="M34" i="32"/>
  <c r="J35" i="32"/>
  <c r="B35" i="32"/>
  <c r="R35" i="32" s="1"/>
  <c r="L35" i="32"/>
  <c r="M35" i="32"/>
  <c r="G35" i="32"/>
  <c r="F35" i="32"/>
  <c r="U35" i="32" s="1"/>
  <c r="N35" i="32"/>
  <c r="H35" i="32"/>
  <c r="I35" i="32"/>
  <c r="A35" i="32"/>
  <c r="K35" i="32"/>
  <c r="M36" i="32"/>
  <c r="L36" i="32"/>
  <c r="H36" i="32"/>
  <c r="G36" i="32"/>
  <c r="A36" i="32"/>
  <c r="B36" i="32"/>
  <c r="R36" i="32" s="1"/>
  <c r="I36" i="32"/>
  <c r="K36" i="32"/>
  <c r="J36" i="32"/>
  <c r="F36" i="32"/>
  <c r="U36" i="32" s="1"/>
  <c r="N36" i="32"/>
  <c r="F37" i="32"/>
  <c r="U37" i="32" s="1"/>
  <c r="A37" i="32"/>
  <c r="N37" i="32"/>
  <c r="B37" i="32"/>
  <c r="R37" i="32" s="1"/>
  <c r="G37" i="32"/>
  <c r="H37" i="32"/>
  <c r="K37" i="32"/>
  <c r="M37" i="32"/>
  <c r="I37" i="32"/>
  <c r="L37" i="32"/>
  <c r="J37" i="32"/>
  <c r="L38" i="32"/>
  <c r="A38" i="32"/>
  <c r="M38" i="32"/>
  <c r="B38" i="32"/>
  <c r="R38" i="32" s="1"/>
  <c r="F38" i="32"/>
  <c r="U38" i="32" s="1"/>
  <c r="N38" i="32"/>
  <c r="I38" i="32"/>
  <c r="G38" i="32"/>
  <c r="J38" i="32"/>
  <c r="K38" i="32"/>
  <c r="H38" i="32"/>
  <c r="I39" i="32"/>
  <c r="N39" i="32"/>
  <c r="J39" i="32"/>
  <c r="A39" i="32"/>
  <c r="K39" i="32"/>
  <c r="L39" i="32"/>
  <c r="M39" i="32"/>
  <c r="F39" i="32"/>
  <c r="U39" i="32" s="1"/>
  <c r="G39" i="32"/>
  <c r="H39" i="32"/>
  <c r="B39" i="32"/>
  <c r="R39" i="32" s="1"/>
  <c r="J40" i="32"/>
  <c r="L40" i="32"/>
  <c r="K40" i="32"/>
  <c r="F40" i="32"/>
  <c r="U40" i="32" s="1"/>
  <c r="M40" i="32"/>
  <c r="N40" i="32"/>
  <c r="G40" i="32"/>
  <c r="A40" i="32"/>
  <c r="B40" i="32"/>
  <c r="R40" i="32" s="1"/>
  <c r="H40" i="32"/>
  <c r="I40" i="32"/>
  <c r="F41" i="32"/>
  <c r="U41" i="32" s="1"/>
  <c r="A41" i="32"/>
  <c r="N41" i="32"/>
  <c r="B41" i="32"/>
  <c r="R41" i="32" s="1"/>
  <c r="G41" i="32"/>
  <c r="H41" i="32"/>
  <c r="M41" i="32"/>
  <c r="K41" i="32"/>
  <c r="I41" i="32"/>
  <c r="L41" i="32"/>
  <c r="J41" i="32"/>
  <c r="J42" i="32"/>
  <c r="M42" i="32"/>
  <c r="K42" i="32"/>
  <c r="I42" i="32"/>
  <c r="L42" i="32"/>
  <c r="B42" i="32"/>
  <c r="R42" i="32" s="1"/>
  <c r="F42" i="32"/>
  <c r="U42" i="32" s="1"/>
  <c r="N42" i="32"/>
  <c r="G42" i="32"/>
  <c r="A42" i="32"/>
  <c r="H42" i="32"/>
  <c r="H43" i="32"/>
  <c r="F43" i="32"/>
  <c r="U43" i="32" s="1"/>
  <c r="I43" i="32"/>
  <c r="J43" i="32"/>
  <c r="A43" i="32"/>
  <c r="K43" i="32"/>
  <c r="B43" i="32"/>
  <c r="R43" i="32" s="1"/>
  <c r="L43" i="32"/>
  <c r="M43" i="32"/>
  <c r="G43" i="32"/>
  <c r="N43" i="32"/>
  <c r="K44" i="32"/>
  <c r="N44" i="32"/>
  <c r="G44" i="32"/>
  <c r="A44" i="32"/>
  <c r="B44" i="32"/>
  <c r="R44" i="32" s="1"/>
  <c r="H44" i="32"/>
  <c r="J44" i="32"/>
  <c r="F44" i="32"/>
  <c r="U44" i="32" s="1"/>
  <c r="I44" i="32"/>
  <c r="M44" i="32"/>
  <c r="L44" i="32"/>
  <c r="H45" i="32"/>
  <c r="I45" i="32"/>
  <c r="L45" i="32"/>
  <c r="M45" i="32"/>
  <c r="K45" i="32"/>
  <c r="F45" i="32"/>
  <c r="U45" i="32" s="1"/>
  <c r="A45" i="32"/>
  <c r="N45" i="32"/>
  <c r="B45" i="32"/>
  <c r="R45" i="32" s="1"/>
  <c r="G45" i="32"/>
  <c r="J45" i="32"/>
  <c r="J46" i="32"/>
  <c r="K46" i="32"/>
  <c r="L46" i="32"/>
  <c r="A46" i="32"/>
  <c r="M46" i="32"/>
  <c r="B46" i="32"/>
  <c r="R46" i="32" s="1"/>
  <c r="F46" i="32"/>
  <c r="U46" i="32" s="1"/>
  <c r="G46" i="32"/>
  <c r="H46" i="32"/>
  <c r="N46" i="32"/>
  <c r="I46" i="32"/>
  <c r="G47" i="32"/>
  <c r="F47" i="32"/>
  <c r="U47" i="32" s="1"/>
  <c r="H47" i="32"/>
  <c r="I47" i="32"/>
  <c r="N47" i="32"/>
  <c r="J47" i="32"/>
  <c r="A47" i="32"/>
  <c r="K47" i="32"/>
  <c r="B47" i="32"/>
  <c r="R47" i="32" s="1"/>
  <c r="L47" i="32"/>
  <c r="M47" i="32"/>
  <c r="N48" i="32"/>
  <c r="M48" i="32"/>
  <c r="G48" i="32"/>
  <c r="A48" i="32"/>
  <c r="B48" i="32"/>
  <c r="R48" i="32" s="1"/>
  <c r="H48" i="32"/>
  <c r="I48" i="32"/>
  <c r="L48" i="32"/>
  <c r="J48" i="32"/>
  <c r="K48" i="32"/>
  <c r="F48" i="32"/>
  <c r="U48" i="32" s="1"/>
  <c r="L49" i="32"/>
  <c r="J49" i="32"/>
  <c r="F49" i="32"/>
  <c r="U49" i="32" s="1"/>
  <c r="A49" i="32"/>
  <c r="N49" i="32"/>
  <c r="B49" i="32"/>
  <c r="R49" i="32" s="1"/>
  <c r="G49" i="32"/>
  <c r="H49" i="32"/>
  <c r="M49" i="32"/>
  <c r="I49" i="32"/>
  <c r="K49" i="32"/>
  <c r="N50" i="32"/>
  <c r="I50" i="32"/>
  <c r="B50" i="32"/>
  <c r="R50" i="32" s="1"/>
  <c r="G50" i="32"/>
  <c r="J50" i="32"/>
  <c r="F50" i="32"/>
  <c r="U50" i="32" s="1"/>
  <c r="K50" i="32"/>
  <c r="H50" i="32"/>
  <c r="L50" i="32"/>
  <c r="A50" i="32"/>
  <c r="M50" i="32"/>
  <c r="A51" i="32"/>
  <c r="K51" i="32"/>
  <c r="B51" i="32"/>
  <c r="R51" i="32" s="1"/>
  <c r="L51" i="32"/>
  <c r="N51" i="32"/>
  <c r="H51" i="32"/>
  <c r="J51" i="32"/>
  <c r="M51" i="32"/>
  <c r="G51" i="32"/>
  <c r="I51" i="32"/>
  <c r="F51" i="32"/>
  <c r="U51" i="32" s="1"/>
  <c r="J52" i="32"/>
  <c r="M52" i="32"/>
  <c r="N52" i="32"/>
  <c r="B52" i="32"/>
  <c r="R52" i="32" s="1"/>
  <c r="H52" i="32"/>
  <c r="I52" i="32"/>
  <c r="K52" i="32"/>
  <c r="F52" i="32"/>
  <c r="U52" i="32" s="1"/>
  <c r="L52" i="32"/>
  <c r="G52" i="32"/>
  <c r="A52" i="32"/>
  <c r="L53" i="32"/>
  <c r="K53" i="32"/>
  <c r="M53" i="32"/>
  <c r="J53" i="32"/>
  <c r="F53" i="32"/>
  <c r="U53" i="32" s="1"/>
  <c r="A53" i="32"/>
  <c r="N53" i="32"/>
  <c r="B53" i="32"/>
  <c r="R53" i="32" s="1"/>
  <c r="G53" i="32"/>
  <c r="H53" i="32"/>
  <c r="I53" i="32"/>
  <c r="J54" i="32"/>
  <c r="K54" i="32"/>
  <c r="L54" i="32"/>
  <c r="A54" i="32"/>
  <c r="M54" i="32"/>
  <c r="B54" i="32"/>
  <c r="R54" i="32" s="1"/>
  <c r="F54" i="32"/>
  <c r="U54" i="32" s="1"/>
  <c r="I54" i="32"/>
  <c r="H54" i="32"/>
  <c r="N54" i="32"/>
  <c r="G54" i="32"/>
  <c r="K56" i="32"/>
  <c r="M56" i="32"/>
  <c r="F55" i="32"/>
  <c r="U55" i="32" s="1"/>
  <c r="A55" i="32"/>
  <c r="N56" i="32"/>
  <c r="L56" i="32"/>
  <c r="G55" i="32"/>
  <c r="I55" i="32"/>
  <c r="B55" i="32"/>
  <c r="R55" i="32" s="1"/>
  <c r="G56" i="32"/>
  <c r="H55" i="32"/>
  <c r="N55" i="32"/>
  <c r="I56" i="32"/>
  <c r="A56" i="32"/>
  <c r="B56" i="32"/>
  <c r="R56" i="32" s="1"/>
  <c r="H56" i="32"/>
  <c r="J55" i="32"/>
  <c r="J56" i="32"/>
  <c r="L55" i="32"/>
  <c r="M55" i="32"/>
  <c r="F56" i="32"/>
  <c r="U56" i="32" s="1"/>
  <c r="K55" i="32"/>
  <c r="G58" i="32"/>
  <c r="G57" i="32"/>
  <c r="J58" i="32"/>
  <c r="H58" i="32"/>
  <c r="H57" i="32"/>
  <c r="L58" i="32"/>
  <c r="K57" i="32"/>
  <c r="M58" i="32"/>
  <c r="F58" i="32"/>
  <c r="U58" i="32" s="1"/>
  <c r="B57" i="32"/>
  <c r="R57" i="32" s="1"/>
  <c r="N57" i="32"/>
  <c r="A58" i="32"/>
  <c r="K58" i="32"/>
  <c r="I58" i="32"/>
  <c r="I57" i="32"/>
  <c r="B58" i="32"/>
  <c r="R58" i="32" s="1"/>
  <c r="L57" i="32"/>
  <c r="A57" i="32"/>
  <c r="J57" i="32"/>
  <c r="F57" i="32"/>
  <c r="U57" i="32" s="1"/>
  <c r="M57" i="32"/>
  <c r="N58" i="32"/>
  <c r="B59" i="32"/>
  <c r="R59" i="32" s="1"/>
  <c r="J59" i="32"/>
  <c r="A59" i="32"/>
  <c r="G59" i="32"/>
  <c r="N59" i="32"/>
  <c r="F59" i="32"/>
  <c r="U59" i="32" s="1"/>
  <c r="H59" i="32"/>
  <c r="I59" i="32"/>
  <c r="K59" i="32"/>
  <c r="L59" i="32"/>
  <c r="M59" i="32"/>
  <c r="I61" i="32"/>
  <c r="H61" i="32"/>
  <c r="J61" i="32"/>
  <c r="H60" i="32"/>
  <c r="J60" i="32"/>
  <c r="L60" i="32"/>
  <c r="L61" i="32"/>
  <c r="G61" i="32"/>
  <c r="K60" i="32"/>
  <c r="M60" i="32"/>
  <c r="A61" i="32"/>
  <c r="M61" i="32"/>
  <c r="K61" i="32"/>
  <c r="B60" i="32"/>
  <c r="R60" i="32" s="1"/>
  <c r="B61" i="32"/>
  <c r="R61" i="32" s="1"/>
  <c r="F61" i="32"/>
  <c r="U61" i="32" s="1"/>
  <c r="F60" i="32"/>
  <c r="U60" i="32" s="1"/>
  <c r="G60" i="32"/>
  <c r="A60" i="32"/>
  <c r="N61" i="32"/>
  <c r="N60" i="32"/>
  <c r="I60" i="32"/>
  <c r="M62" i="32"/>
  <c r="J62" i="32"/>
  <c r="I62" i="32"/>
  <c r="K62" i="32"/>
  <c r="H62" i="32"/>
  <c r="A62" i="32"/>
  <c r="F62" i="32"/>
  <c r="U62" i="32" s="1"/>
  <c r="B62" i="32"/>
  <c r="R62" i="32" s="1"/>
  <c r="N62" i="32"/>
  <c r="G62" i="32"/>
  <c r="L62" i="32"/>
  <c r="A63" i="32"/>
  <c r="I63" i="32"/>
  <c r="N63" i="32"/>
  <c r="F64" i="32"/>
  <c r="U64" i="32" s="1"/>
  <c r="B63" i="32"/>
  <c r="R63" i="32" s="1"/>
  <c r="H64" i="32"/>
  <c r="J63" i="32"/>
  <c r="J64" i="32"/>
  <c r="L63" i="32"/>
  <c r="K64" i="32"/>
  <c r="M63" i="32"/>
  <c r="M64" i="32"/>
  <c r="F63" i="32"/>
  <c r="U63" i="32" s="1"/>
  <c r="K63" i="32"/>
  <c r="L64" i="32"/>
  <c r="A64" i="32"/>
  <c r="N64" i="32"/>
  <c r="I64" i="32"/>
  <c r="B64" i="32"/>
  <c r="R64" i="32" s="1"/>
  <c r="G64" i="32"/>
  <c r="H63" i="32"/>
  <c r="G63" i="32"/>
  <c r="F65" i="32"/>
  <c r="U65" i="32" s="1"/>
  <c r="A65" i="32"/>
  <c r="N65" i="32"/>
  <c r="K65" i="32"/>
  <c r="L65" i="32"/>
  <c r="B65" i="32"/>
  <c r="R65" i="32" s="1"/>
  <c r="H65" i="32"/>
  <c r="I65" i="32"/>
  <c r="G65" i="32"/>
  <c r="J65" i="32"/>
  <c r="M65" i="32"/>
  <c r="N67" i="32"/>
  <c r="G66" i="32"/>
  <c r="K67" i="32"/>
  <c r="J66" i="32"/>
  <c r="H67" i="32"/>
  <c r="L66" i="32"/>
  <c r="A67" i="32"/>
  <c r="I67" i="32"/>
  <c r="H66" i="32"/>
  <c r="B67" i="32"/>
  <c r="R67" i="32" s="1"/>
  <c r="M66" i="32"/>
  <c r="A66" i="32"/>
  <c r="L67" i="32"/>
  <c r="K66" i="32"/>
  <c r="I66" i="32"/>
  <c r="B66" i="32"/>
  <c r="R66" i="32" s="1"/>
  <c r="F67" i="32"/>
  <c r="U67" i="32" s="1"/>
  <c r="F66" i="32"/>
  <c r="U66" i="32" s="1"/>
  <c r="G67" i="32"/>
  <c r="N66" i="32"/>
  <c r="J67" i="32"/>
  <c r="M67" i="32"/>
  <c r="B68" i="32"/>
  <c r="R68" i="32" s="1"/>
  <c r="G68" i="32"/>
  <c r="J68" i="32"/>
  <c r="K68" i="32"/>
  <c r="H68" i="32"/>
  <c r="M68" i="32"/>
  <c r="I68" i="32"/>
  <c r="A68" i="32"/>
  <c r="N68" i="32"/>
  <c r="L68" i="32"/>
  <c r="F68" i="32"/>
  <c r="U68" i="32" s="1"/>
  <c r="A70" i="32"/>
  <c r="F70" i="32"/>
  <c r="U70" i="32" s="1"/>
  <c r="M69" i="32"/>
  <c r="K69" i="32"/>
  <c r="B70" i="32"/>
  <c r="R70" i="32" s="1"/>
  <c r="N70" i="32"/>
  <c r="F69" i="32"/>
  <c r="U69" i="32" s="1"/>
  <c r="G70" i="32"/>
  <c r="N69" i="32"/>
  <c r="J69" i="32"/>
  <c r="H69" i="32"/>
  <c r="I70" i="32"/>
  <c r="I69" i="32"/>
  <c r="J70" i="32"/>
  <c r="H70" i="32"/>
  <c r="G69" i="32"/>
  <c r="A69" i="32"/>
  <c r="K70" i="32"/>
  <c r="M70" i="32"/>
  <c r="B69" i="32"/>
  <c r="R69" i="32" s="1"/>
  <c r="L70" i="32"/>
  <c r="L69" i="32"/>
  <c r="K71" i="32"/>
  <c r="M71" i="32"/>
  <c r="H71" i="32"/>
  <c r="F71" i="32"/>
  <c r="U71" i="32" s="1"/>
  <c r="N71" i="32"/>
  <c r="I71" i="32"/>
  <c r="J71" i="32"/>
  <c r="A71" i="32"/>
  <c r="L71" i="32"/>
  <c r="B71" i="32"/>
  <c r="R71" i="32" s="1"/>
  <c r="G71" i="32"/>
  <c r="F72" i="32"/>
  <c r="U72" i="32" s="1"/>
  <c r="M72" i="32"/>
  <c r="K72" i="32"/>
  <c r="N72" i="32"/>
  <c r="I72" i="32"/>
  <c r="J72" i="32"/>
  <c r="G72" i="32"/>
  <c r="A72" i="32"/>
  <c r="B72" i="32"/>
  <c r="R72" i="32" s="1"/>
  <c r="H72" i="32"/>
  <c r="L72" i="32"/>
  <c r="J73" i="32"/>
  <c r="K73" i="32"/>
  <c r="L73" i="32"/>
  <c r="M73" i="32"/>
  <c r="G73" i="32"/>
  <c r="F73" i="32"/>
  <c r="U73" i="32" s="1"/>
  <c r="A73" i="32"/>
  <c r="N73" i="32"/>
  <c r="I73" i="32"/>
  <c r="B73" i="32"/>
  <c r="R73" i="32" s="1"/>
  <c r="H73" i="32"/>
  <c r="L74" i="32"/>
  <c r="A74" i="32"/>
  <c r="B74" i="32"/>
  <c r="R74" i="32" s="1"/>
  <c r="N74" i="32"/>
  <c r="G74" i="32"/>
  <c r="F74" i="32"/>
  <c r="U74" i="32" s="1"/>
  <c r="H74" i="32"/>
  <c r="K74" i="32"/>
  <c r="J74" i="32"/>
  <c r="M74" i="32"/>
  <c r="I74" i="32"/>
  <c r="B75" i="32"/>
  <c r="R75" i="32" s="1"/>
  <c r="G76" i="32"/>
  <c r="H75" i="32"/>
  <c r="A76" i="32"/>
  <c r="I75" i="32"/>
  <c r="F75" i="32"/>
  <c r="U75" i="32" s="1"/>
  <c r="M76" i="32"/>
  <c r="N76" i="32"/>
  <c r="L76" i="32"/>
  <c r="B76" i="32"/>
  <c r="R76" i="32" s="1"/>
  <c r="H76" i="32"/>
  <c r="J75" i="32"/>
  <c r="M75" i="32"/>
  <c r="I76" i="32"/>
  <c r="N75" i="32"/>
  <c r="G75" i="32"/>
  <c r="J76" i="32"/>
  <c r="L75" i="32"/>
  <c r="K76" i="32"/>
  <c r="K75" i="32"/>
  <c r="F76" i="32"/>
  <c r="U76" i="32" s="1"/>
  <c r="A75" i="32"/>
  <c r="N77" i="32"/>
  <c r="L77" i="32"/>
  <c r="M77" i="32"/>
  <c r="H77" i="32"/>
  <c r="A77" i="32"/>
  <c r="I77" i="32"/>
  <c r="K77" i="32"/>
  <c r="G77" i="32"/>
  <c r="F77" i="32"/>
  <c r="U77" i="32" s="1"/>
  <c r="B77" i="32"/>
  <c r="R77" i="32" s="1"/>
  <c r="J77" i="32"/>
  <c r="M78" i="32"/>
  <c r="K78" i="32"/>
  <c r="L78" i="32"/>
  <c r="I78" i="32"/>
  <c r="J78" i="32"/>
  <c r="H78" i="32"/>
  <c r="F78" i="32"/>
  <c r="U78" i="32" s="1"/>
  <c r="A78" i="32"/>
  <c r="N78" i="32"/>
  <c r="B78" i="32"/>
  <c r="R78" i="32" s="1"/>
  <c r="G78" i="32"/>
  <c r="K79" i="32"/>
  <c r="A79" i="32"/>
  <c r="B79" i="32"/>
  <c r="R79" i="32" s="1"/>
  <c r="G79" i="32"/>
  <c r="H79" i="32"/>
  <c r="J79" i="32"/>
  <c r="I79" i="32"/>
  <c r="N79" i="32"/>
  <c r="L79" i="32"/>
  <c r="M79" i="32"/>
  <c r="F79" i="32"/>
  <c r="U79" i="32" s="1"/>
  <c r="A81" i="32"/>
  <c r="M81" i="32"/>
  <c r="N81" i="32"/>
  <c r="M80" i="32"/>
  <c r="B81" i="32"/>
  <c r="R81" i="32" s="1"/>
  <c r="H81" i="32"/>
  <c r="F80" i="32"/>
  <c r="U80" i="32" s="1"/>
  <c r="I80" i="32"/>
  <c r="N80" i="32"/>
  <c r="B80" i="32"/>
  <c r="R80" i="32" s="1"/>
  <c r="K81" i="32"/>
  <c r="F81" i="32"/>
  <c r="U81" i="32" s="1"/>
  <c r="J80" i="32"/>
  <c r="K80" i="32"/>
  <c r="L81" i="32"/>
  <c r="J81" i="32"/>
  <c r="L80" i="32"/>
  <c r="A80" i="32"/>
  <c r="I81" i="32"/>
  <c r="H80" i="32"/>
  <c r="G81" i="32"/>
  <c r="G80" i="32"/>
  <c r="I82" i="32"/>
  <c r="H82" i="32"/>
  <c r="J82" i="32"/>
  <c r="M82" i="32"/>
  <c r="K82" i="32"/>
  <c r="L82" i="32"/>
  <c r="F82" i="32"/>
  <c r="U82" i="32" s="1"/>
  <c r="A82" i="32"/>
  <c r="N82" i="32"/>
  <c r="B82" i="32"/>
  <c r="R82" i="32" s="1"/>
  <c r="G82" i="32"/>
  <c r="K83" i="32"/>
  <c r="H83" i="32"/>
  <c r="J83" i="32"/>
  <c r="L83" i="32"/>
  <c r="I83" i="32"/>
  <c r="F83" i="32"/>
  <c r="U83" i="32" s="1"/>
  <c r="M83" i="32"/>
  <c r="B83" i="32"/>
  <c r="R83" i="32" s="1"/>
  <c r="G83" i="32"/>
  <c r="A83" i="32"/>
  <c r="L84" i="32"/>
  <c r="F84" i="32"/>
  <c r="U84" i="32" s="1"/>
  <c r="M84" i="32"/>
  <c r="I84" i="32"/>
  <c r="A84" i="32"/>
  <c r="N84" i="32"/>
  <c r="J84" i="32"/>
  <c r="B84" i="32"/>
  <c r="R84" i="32" s="1"/>
  <c r="H84" i="32"/>
  <c r="G84" i="32"/>
  <c r="K84" i="32"/>
  <c r="M85" i="32"/>
  <c r="I85" i="32"/>
  <c r="G85" i="32"/>
  <c r="J85" i="32"/>
  <c r="L85" i="32"/>
  <c r="K85" i="32"/>
  <c r="H85" i="32"/>
  <c r="A85" i="32"/>
  <c r="F85" i="32"/>
  <c r="U85" i="32" s="1"/>
  <c r="B85" i="32"/>
  <c r="R85" i="32" s="1"/>
  <c r="N85" i="32"/>
  <c r="A86" i="32"/>
  <c r="J86" i="32"/>
  <c r="B86" i="32"/>
  <c r="R86" i="32" s="1"/>
  <c r="L86" i="32"/>
  <c r="I86" i="32"/>
  <c r="M86" i="32"/>
  <c r="K86" i="32"/>
  <c r="H86" i="32"/>
  <c r="F86" i="32"/>
  <c r="U86" i="32" s="1"/>
  <c r="G86" i="32"/>
  <c r="N86" i="32"/>
  <c r="G87" i="32"/>
  <c r="L87" i="32"/>
  <c r="B87" i="32"/>
  <c r="R87" i="32" s="1"/>
  <c r="M87" i="32"/>
  <c r="I87" i="32"/>
  <c r="N87" i="32"/>
  <c r="A87" i="32"/>
  <c r="H87" i="32"/>
  <c r="J87" i="32"/>
  <c r="F87" i="32"/>
  <c r="U87" i="32" s="1"/>
  <c r="K87" i="32"/>
  <c r="L88" i="32"/>
  <c r="G88" i="32"/>
  <c r="F88" i="32"/>
  <c r="U88" i="32" s="1"/>
  <c r="M88" i="32"/>
  <c r="I88" i="32"/>
  <c r="A88" i="32"/>
  <c r="N88" i="32"/>
  <c r="K88" i="32"/>
  <c r="B88" i="32"/>
  <c r="R88" i="32" s="1"/>
  <c r="H88" i="32"/>
  <c r="J88" i="32"/>
  <c r="A89" i="32"/>
  <c r="F89" i="32"/>
  <c r="U89" i="32" s="1"/>
  <c r="H89" i="32"/>
  <c r="G89" i="32"/>
  <c r="M89" i="32"/>
  <c r="B89" i="32"/>
  <c r="R89" i="32" s="1"/>
  <c r="N89" i="32"/>
  <c r="I89" i="32"/>
  <c r="J89" i="32"/>
  <c r="K89" i="32"/>
  <c r="L89" i="32"/>
  <c r="G90" i="32"/>
  <c r="K90" i="32"/>
  <c r="H90" i="32"/>
  <c r="M90" i="32"/>
  <c r="B90" i="32"/>
  <c r="R90" i="32" s="1"/>
  <c r="L90" i="32"/>
  <c r="I90" i="32"/>
  <c r="N90" i="32"/>
  <c r="F90" i="32"/>
  <c r="U90" i="32" s="1"/>
  <c r="A90" i="32"/>
  <c r="J90" i="32"/>
  <c r="F91" i="32"/>
  <c r="U91" i="32" s="1"/>
  <c r="N91" i="32"/>
  <c r="A91" i="32"/>
  <c r="H91" i="32"/>
  <c r="B91" i="32"/>
  <c r="R91" i="32" s="1"/>
  <c r="J91" i="32"/>
  <c r="L91" i="32"/>
  <c r="K91" i="32"/>
  <c r="M91" i="32"/>
  <c r="I91" i="32"/>
  <c r="G91" i="32"/>
  <c r="N92" i="32"/>
  <c r="A92" i="32"/>
  <c r="J92" i="32"/>
  <c r="H92" i="32"/>
  <c r="B92" i="32"/>
  <c r="R92" i="32" s="1"/>
  <c r="F92" i="32"/>
  <c r="U92" i="32" s="1"/>
  <c r="K17" i="32"/>
  <c r="L17" i="32"/>
  <c r="M17" i="32"/>
  <c r="J17" i="32"/>
  <c r="F17" i="32"/>
  <c r="U17" i="32" s="1"/>
  <c r="G17" i="32"/>
  <c r="A17" i="32"/>
  <c r="Q17" i="32" s="1"/>
  <c r="N17" i="32"/>
  <c r="B17" i="32"/>
  <c r="R17" i="32" s="1"/>
  <c r="H17" i="32"/>
  <c r="G18" i="32"/>
  <c r="M18" i="32"/>
  <c r="I18" i="32"/>
  <c r="J18" i="32"/>
  <c r="K18" i="32"/>
  <c r="H18" i="32"/>
  <c r="A18" i="32"/>
  <c r="Q18" i="32" s="1"/>
  <c r="L18" i="32"/>
  <c r="B18" i="32"/>
  <c r="R18" i="32" s="1"/>
  <c r="F18" i="32"/>
  <c r="U18" i="32" s="1"/>
  <c r="N19" i="32"/>
  <c r="H19" i="32"/>
  <c r="G19" i="32"/>
  <c r="I19" i="32"/>
  <c r="F19" i="32"/>
  <c r="U19" i="32" s="1"/>
  <c r="J19" i="32"/>
  <c r="A19" i="32"/>
  <c r="Q19" i="32" s="1"/>
  <c r="K19" i="32"/>
  <c r="B19" i="32"/>
  <c r="R19" i="32" s="1"/>
  <c r="L19" i="32"/>
  <c r="M19" i="32"/>
  <c r="J20" i="32"/>
  <c r="K20" i="32"/>
  <c r="M20" i="32"/>
  <c r="F20" i="32"/>
  <c r="U20" i="32" s="1"/>
  <c r="N20" i="32"/>
  <c r="L20" i="32"/>
  <c r="G20" i="32"/>
  <c r="A20" i="32"/>
  <c r="Q20" i="32" s="1"/>
  <c r="B20" i="32"/>
  <c r="R20" i="32" s="1"/>
  <c r="I20" i="32"/>
  <c r="H20" i="32"/>
  <c r="L21" i="32"/>
  <c r="K21" i="32"/>
  <c r="M21" i="32"/>
  <c r="J21" i="32"/>
  <c r="F21" i="32"/>
  <c r="U21" i="32" s="1"/>
  <c r="A21" i="32"/>
  <c r="N21" i="32"/>
  <c r="B21" i="32"/>
  <c r="R21" i="32" s="1"/>
  <c r="G21" i="32"/>
  <c r="H21" i="32"/>
  <c r="I21" i="32"/>
  <c r="J22" i="32"/>
  <c r="I22" i="32"/>
  <c r="K22" i="32"/>
  <c r="H22" i="32"/>
  <c r="L22" i="32"/>
  <c r="A22" i="32"/>
  <c r="M22" i="32"/>
  <c r="B22" i="32"/>
  <c r="R22" i="32" s="1"/>
  <c r="F22" i="32"/>
  <c r="U22" i="32" s="1"/>
  <c r="G22" i="32"/>
  <c r="F23" i="32"/>
  <c r="U23" i="32" s="1"/>
  <c r="G23" i="32"/>
  <c r="H23" i="32"/>
  <c r="I23" i="32"/>
  <c r="N23" i="32"/>
  <c r="J23" i="32"/>
  <c r="A23" i="32"/>
  <c r="K23" i="32"/>
  <c r="B23" i="32"/>
  <c r="R23" i="32" s="1"/>
  <c r="L23" i="32"/>
  <c r="M23" i="32"/>
  <c r="I24" i="32"/>
  <c r="J24" i="32"/>
  <c r="K24" i="32"/>
  <c r="F24" i="32"/>
  <c r="U24" i="32" s="1"/>
  <c r="M24" i="32"/>
  <c r="N24" i="32"/>
  <c r="L24" i="32"/>
  <c r="G24" i="32"/>
  <c r="A24" i="32"/>
  <c r="B24" i="32"/>
  <c r="R24" i="32" s="1"/>
  <c r="H24" i="32"/>
  <c r="AY146" i="69"/>
  <c r="L163" i="57"/>
  <c r="AH162" i="53"/>
  <c r="AT162" i="53"/>
  <c r="AG162" i="53"/>
  <c r="J16" i="32"/>
  <c r="K16" i="32"/>
  <c r="F16" i="32"/>
  <c r="U16" i="32" s="1"/>
  <c r="L16" i="32"/>
  <c r="N16" i="32"/>
  <c r="M16" i="32"/>
  <c r="A16" i="32"/>
  <c r="Q16" i="32" s="1"/>
  <c r="G16" i="32"/>
  <c r="B16" i="32"/>
  <c r="R16" i="32" s="1"/>
  <c r="H16" i="32"/>
  <c r="I16" i="32"/>
  <c r="N163" i="57"/>
  <c r="AH146" i="69"/>
  <c r="AD162" i="53"/>
  <c r="Q162" i="53"/>
  <c r="K163" i="53"/>
  <c r="E163" i="53"/>
  <c r="F163" i="53"/>
  <c r="C163" i="53"/>
  <c r="P163" i="53"/>
  <c r="I163" i="53"/>
  <c r="J163" i="53"/>
  <c r="L163" i="53"/>
  <c r="AK162" i="52" a="1"/>
  <c r="AK162" i="52" s="1"/>
  <c r="B164" i="53" s="1"/>
  <c r="G163" i="53"/>
  <c r="H163" i="53"/>
  <c r="D163" i="53"/>
  <c r="A93" i="32"/>
  <c r="B93" i="32"/>
  <c r="R93" i="32" s="1"/>
  <c r="L103" i="50"/>
  <c r="N103" i="50"/>
  <c r="A103" i="50"/>
  <c r="J103" i="50"/>
  <c r="M103" i="50"/>
  <c r="B103" i="50"/>
  <c r="R103" i="50" s="1"/>
  <c r="F103" i="50"/>
  <c r="U103" i="50" s="1"/>
  <c r="K103" i="50"/>
  <c r="G103" i="50"/>
  <c r="I103" i="50"/>
  <c r="H103" i="50"/>
  <c r="B12" i="32"/>
  <c r="R12" i="32" s="1"/>
  <c r="B13" i="32"/>
  <c r="R13" i="32" s="1"/>
  <c r="A14" i="32"/>
  <c r="Q14" i="32" s="1"/>
  <c r="B14" i="32"/>
  <c r="R14" i="32" s="1"/>
  <c r="A15" i="32"/>
  <c r="Q15" i="32" s="1"/>
  <c r="B15" i="32"/>
  <c r="R15" i="32" s="1"/>
  <c r="I93" i="32"/>
  <c r="J93" i="32"/>
  <c r="L93" i="32"/>
  <c r="F93" i="32"/>
  <c r="U93" i="32" s="1"/>
  <c r="N93" i="32"/>
  <c r="K93" i="32"/>
  <c r="H93" i="32"/>
  <c r="G93" i="32"/>
  <c r="M93" i="32"/>
  <c r="F13" i="32"/>
  <c r="U13" i="32" s="1"/>
  <c r="N13" i="32"/>
  <c r="L14" i="32"/>
  <c r="J15" i="32"/>
  <c r="G13" i="32"/>
  <c r="M14" i="32"/>
  <c r="K15" i="32"/>
  <c r="H13" i="32"/>
  <c r="F14" i="32"/>
  <c r="U14" i="32" s="1"/>
  <c r="N14" i="32"/>
  <c r="L15" i="32"/>
  <c r="I13" i="32"/>
  <c r="G14" i="32"/>
  <c r="M15" i="32"/>
  <c r="H15" i="32"/>
  <c r="J13" i="32"/>
  <c r="H14" i="32"/>
  <c r="F15" i="32"/>
  <c r="U15" i="32" s="1"/>
  <c r="N15" i="32"/>
  <c r="J14" i="32"/>
  <c r="K13" i="32"/>
  <c r="I14" i="32"/>
  <c r="G15" i="32"/>
  <c r="L13" i="32"/>
  <c r="M13" i="32"/>
  <c r="K14" i="32"/>
  <c r="I15" i="32"/>
  <c r="J12" i="32"/>
  <c r="K12" i="32"/>
  <c r="H12" i="32"/>
  <c r="G12" i="32"/>
  <c r="I163" i="57"/>
  <c r="F163" i="57"/>
  <c r="E163" i="57"/>
  <c r="D163" i="57"/>
  <c r="J163" i="57"/>
  <c r="H163" i="57"/>
  <c r="G163" i="57"/>
  <c r="C163" i="57"/>
  <c r="K163" i="57"/>
  <c r="AN162" i="55" a="1"/>
  <c r="AN162" i="55" s="1"/>
  <c r="B164" i="57" s="1"/>
  <c r="C148" i="69"/>
  <c r="P148" i="69" s="1"/>
  <c r="AR148" i="67" a="1"/>
  <c r="AR148" i="67" s="1"/>
  <c r="B149" i="69"/>
  <c r="L149" i="69" s="1"/>
  <c r="D147" i="69"/>
  <c r="E147" i="69" s="1"/>
  <c r="F147" i="69" s="1"/>
  <c r="G147" i="69" s="1"/>
  <c r="H147" i="69" s="1"/>
  <c r="I147" i="69" s="1"/>
  <c r="J147" i="69" s="1"/>
  <c r="K147" i="69" s="1"/>
  <c r="M147" i="69" s="1"/>
  <c r="AE146" i="69"/>
  <c r="R146" i="69"/>
  <c r="S146" i="69" s="1"/>
  <c r="Y146" i="69" s="1"/>
  <c r="AL93" i="11" a="1"/>
  <c r="AL93" i="11" s="1"/>
  <c r="E94" i="32" s="1"/>
  <c r="AP103" i="59" a="1"/>
  <c r="AP103" i="59" s="1"/>
  <c r="E104" i="50" s="1"/>
  <c r="X161" i="57" l="1"/>
  <c r="AA161" i="57" s="1"/>
  <c r="AD102" i="50"/>
  <c r="AG102" i="50" s="1"/>
  <c r="AG163" i="57"/>
  <c r="M164" i="53"/>
  <c r="AC164" i="53" s="1"/>
  <c r="O164" i="53"/>
  <c r="AP148" i="69"/>
  <c r="N148" i="69"/>
  <c r="U148" i="69" s="1"/>
  <c r="AJ162" i="57"/>
  <c r="AA160" i="57"/>
  <c r="AF160" i="57"/>
  <c r="AD162" i="57"/>
  <c r="Q162" i="57"/>
  <c r="T162" i="57" s="1"/>
  <c r="AQ162" i="57"/>
  <c r="R162" i="57"/>
  <c r="AC162" i="57"/>
  <c r="AE162" i="57"/>
  <c r="M163" i="57"/>
  <c r="AK163" i="57" s="1"/>
  <c r="Q103" i="50"/>
  <c r="P103" i="50" s="1"/>
  <c r="Q22" i="32"/>
  <c r="P22" i="32" s="1"/>
  <c r="Q72" i="32"/>
  <c r="P72" i="32" s="1"/>
  <c r="Q69" i="32"/>
  <c r="P69" i="32" s="1"/>
  <c r="Q50" i="32"/>
  <c r="P50" i="32" s="1"/>
  <c r="Q44" i="32"/>
  <c r="P44" i="32" s="1"/>
  <c r="Q42" i="32"/>
  <c r="P42" i="32" s="1"/>
  <c r="Q40" i="32"/>
  <c r="P40" i="32" s="1"/>
  <c r="Q93" i="32"/>
  <c r="P93" i="32" s="1"/>
  <c r="Q23" i="32"/>
  <c r="P23" i="32" s="1"/>
  <c r="Q91" i="32"/>
  <c r="P91" i="32" s="1"/>
  <c r="Q90" i="32"/>
  <c r="P90" i="32" s="1"/>
  <c r="Q89" i="32"/>
  <c r="P89" i="32" s="1"/>
  <c r="Q87" i="32"/>
  <c r="P87" i="32" s="1"/>
  <c r="Q83" i="32"/>
  <c r="P83" i="32" s="1"/>
  <c r="Q79" i="32"/>
  <c r="P79" i="32" s="1"/>
  <c r="Q75" i="32"/>
  <c r="P75" i="32" s="1"/>
  <c r="Q60" i="32"/>
  <c r="P60" i="32" s="1"/>
  <c r="Q61" i="32"/>
  <c r="P61" i="32" s="1"/>
  <c r="Q58" i="32"/>
  <c r="P58" i="32" s="1"/>
  <c r="Q56" i="32"/>
  <c r="P56" i="32" s="1"/>
  <c r="Q52" i="32"/>
  <c r="P52" i="32" s="1"/>
  <c r="Q49" i="32"/>
  <c r="P49" i="32" s="1"/>
  <c r="Q35" i="32"/>
  <c r="P35" i="32" s="1"/>
  <c r="Q29" i="32"/>
  <c r="P29" i="32" s="1"/>
  <c r="Q26" i="32"/>
  <c r="P26" i="32" s="1"/>
  <c r="Q77" i="32"/>
  <c r="P77" i="32" s="1"/>
  <c r="Q74" i="32"/>
  <c r="P74" i="32" s="1"/>
  <c r="Q70" i="32"/>
  <c r="P70" i="32" s="1"/>
  <c r="Q62" i="32"/>
  <c r="P62" i="32" s="1"/>
  <c r="Q59" i="32"/>
  <c r="P59" i="32" s="1"/>
  <c r="Q48" i="32"/>
  <c r="P48" i="32" s="1"/>
  <c r="Q38" i="32"/>
  <c r="P38" i="32" s="1"/>
  <c r="Q86" i="32"/>
  <c r="P86" i="32" s="1"/>
  <c r="Q85" i="32"/>
  <c r="P85" i="32" s="1"/>
  <c r="Q82" i="32"/>
  <c r="P82" i="32" s="1"/>
  <c r="Q80" i="32"/>
  <c r="P80" i="32" s="1"/>
  <c r="Q78" i="32"/>
  <c r="P78" i="32" s="1"/>
  <c r="Q73" i="32"/>
  <c r="P73" i="32" s="1"/>
  <c r="Q66" i="32"/>
  <c r="P66" i="32" s="1"/>
  <c r="Q63" i="32"/>
  <c r="P63" i="32" s="1"/>
  <c r="Q54" i="32"/>
  <c r="P54" i="32" s="1"/>
  <c r="Q51" i="32"/>
  <c r="P51" i="32" s="1"/>
  <c r="Q46" i="32"/>
  <c r="P46" i="32" s="1"/>
  <c r="Q45" i="32"/>
  <c r="P45" i="32" s="1"/>
  <c r="Q43" i="32"/>
  <c r="P43" i="32" s="1"/>
  <c r="Q33" i="32"/>
  <c r="P33" i="32" s="1"/>
  <c r="Q28" i="32"/>
  <c r="P28" i="32" s="1"/>
  <c r="Q27" i="32"/>
  <c r="P27" i="32" s="1"/>
  <c r="Q24" i="32"/>
  <c r="P24" i="32" s="1"/>
  <c r="Q84" i="32"/>
  <c r="P84" i="32" s="1"/>
  <c r="Q68" i="32"/>
  <c r="P68" i="32" s="1"/>
  <c r="Q47" i="32"/>
  <c r="P47" i="32" s="1"/>
  <c r="Q34" i="32"/>
  <c r="P34" i="32" s="1"/>
  <c r="Q31" i="32"/>
  <c r="P31" i="32" s="1"/>
  <c r="Q21" i="32"/>
  <c r="P21" i="32" s="1"/>
  <c r="Q92" i="32"/>
  <c r="P92" i="32" s="1"/>
  <c r="Q88" i="32"/>
  <c r="P88" i="32" s="1"/>
  <c r="Q81" i="32"/>
  <c r="P81" i="32" s="1"/>
  <c r="Q76" i="32"/>
  <c r="P76" i="32" s="1"/>
  <c r="Q71" i="32"/>
  <c r="P71" i="32" s="1"/>
  <c r="Q67" i="32"/>
  <c r="P67" i="32" s="1"/>
  <c r="Q65" i="32"/>
  <c r="P65" i="32" s="1"/>
  <c r="Q64" i="32"/>
  <c r="P64" i="32" s="1"/>
  <c r="Q57" i="32"/>
  <c r="P57" i="32" s="1"/>
  <c r="Q55" i="32"/>
  <c r="P55" i="32" s="1"/>
  <c r="Q53" i="32"/>
  <c r="P53" i="32" s="1"/>
  <c r="Q41" i="32"/>
  <c r="P41" i="32" s="1"/>
  <c r="Q39" i="32"/>
  <c r="P39" i="32" s="1"/>
  <c r="Q37" i="32"/>
  <c r="P37" i="32" s="1"/>
  <c r="Q36" i="32"/>
  <c r="P36" i="32" s="1"/>
  <c r="Q32" i="32"/>
  <c r="P32" i="32" s="1"/>
  <c r="Q30" i="32"/>
  <c r="P30" i="32" s="1"/>
  <c r="Q25" i="32"/>
  <c r="P25" i="32" s="1"/>
  <c r="N164" i="53"/>
  <c r="T94" i="32"/>
  <c r="O94" i="32"/>
  <c r="O104" i="50"/>
  <c r="T104" i="50"/>
  <c r="AA162" i="53"/>
  <c r="AB162" i="53"/>
  <c r="AP100" i="50"/>
  <c r="AM93" i="32"/>
  <c r="AM90" i="32"/>
  <c r="AM88" i="32"/>
  <c r="AM87" i="32"/>
  <c r="AM86" i="32"/>
  <c r="AM76" i="32"/>
  <c r="AM69" i="32"/>
  <c r="AM63" i="32"/>
  <c r="AM56" i="32"/>
  <c r="AM49" i="32"/>
  <c r="AM36" i="32"/>
  <c r="AM29" i="32"/>
  <c r="AM26" i="32"/>
  <c r="AM23" i="32"/>
  <c r="AM84" i="32"/>
  <c r="AM82" i="32"/>
  <c r="AM78" i="32"/>
  <c r="AM73" i="32"/>
  <c r="AM72" i="32"/>
  <c r="AM71" i="32"/>
  <c r="AM70" i="32"/>
  <c r="AM64" i="32"/>
  <c r="AM62" i="32"/>
  <c r="AM60" i="32"/>
  <c r="AM54" i="32"/>
  <c r="AM46" i="32"/>
  <c r="AM45" i="32"/>
  <c r="AM42" i="32"/>
  <c r="AM39" i="32"/>
  <c r="AM33" i="32"/>
  <c r="AM28" i="32"/>
  <c r="AM92" i="32"/>
  <c r="AM91" i="32"/>
  <c r="AM89" i="32"/>
  <c r="AM81" i="32"/>
  <c r="AM79" i="32"/>
  <c r="AM77" i="32"/>
  <c r="AM74" i="32"/>
  <c r="AM66" i="32"/>
  <c r="AM65" i="32"/>
  <c r="AM61" i="32"/>
  <c r="AM58" i="32"/>
  <c r="AM55" i="32"/>
  <c r="AM53" i="32"/>
  <c r="AM52" i="32"/>
  <c r="AM51" i="32"/>
  <c r="AM50" i="32"/>
  <c r="AM44" i="32"/>
  <c r="AM41" i="32"/>
  <c r="AM40" i="32"/>
  <c r="AM37" i="32"/>
  <c r="AM34" i="32"/>
  <c r="AM30" i="32"/>
  <c r="AM25" i="32"/>
  <c r="AM24" i="32"/>
  <c r="AM22" i="32"/>
  <c r="AM85" i="32"/>
  <c r="AM83" i="32"/>
  <c r="AM80" i="32"/>
  <c r="AM75" i="32"/>
  <c r="AM68" i="32"/>
  <c r="AM67" i="32"/>
  <c r="AM59" i="32"/>
  <c r="AM57" i="32"/>
  <c r="AM48" i="32"/>
  <c r="AM47" i="32"/>
  <c r="AM43" i="32"/>
  <c r="AM38" i="32"/>
  <c r="AM35" i="32"/>
  <c r="AM32" i="32"/>
  <c r="AM31" i="32"/>
  <c r="AM27" i="32"/>
  <c r="P14" i="32"/>
  <c r="P16" i="32"/>
  <c r="P18" i="32"/>
  <c r="P17" i="32"/>
  <c r="P15" i="32"/>
  <c r="P20" i="32"/>
  <c r="P19" i="32"/>
  <c r="P13" i="32"/>
  <c r="AJ102" i="50"/>
  <c r="C102" i="50"/>
  <c r="S103" i="50"/>
  <c r="Z103" i="50" s="1"/>
  <c r="S13" i="32"/>
  <c r="Z13" i="32" s="1"/>
  <c r="S16" i="32"/>
  <c r="Z16" i="32" s="1"/>
  <c r="S21" i="32"/>
  <c r="Z21" i="32" s="1"/>
  <c r="S19" i="32"/>
  <c r="Z19" i="32" s="1"/>
  <c r="S15" i="32"/>
  <c r="Z15" i="32" s="1"/>
  <c r="S14" i="32"/>
  <c r="Z14" i="32" s="1"/>
  <c r="S18" i="32"/>
  <c r="Z18" i="32" s="1"/>
  <c r="S17" i="32"/>
  <c r="Z17" i="32" s="1"/>
  <c r="S20" i="32"/>
  <c r="Z20" i="32" s="1"/>
  <c r="S12" i="32"/>
  <c r="P12" i="32"/>
  <c r="S93" i="32"/>
  <c r="Z93" i="32" s="1"/>
  <c r="S24" i="32"/>
  <c r="Z24" i="32" s="1"/>
  <c r="S22" i="32"/>
  <c r="Z22" i="32" s="1"/>
  <c r="S23" i="32"/>
  <c r="Z23" i="32" s="1"/>
  <c r="W102" i="50"/>
  <c r="X101" i="50"/>
  <c r="V102" i="50"/>
  <c r="AF147" i="69"/>
  <c r="Q147" i="69"/>
  <c r="O164" i="57"/>
  <c r="P164" i="57"/>
  <c r="AC145" i="69"/>
  <c r="AD145" i="69" s="1"/>
  <c r="AH101" i="50"/>
  <c r="AI101" i="50" s="1"/>
  <c r="AB146" i="69"/>
  <c r="AG146" i="69"/>
  <c r="AO148" i="69"/>
  <c r="O149" i="69"/>
  <c r="AK104" i="50"/>
  <c r="AE163" i="53"/>
  <c r="AF162" i="53"/>
  <c r="AK94" i="32"/>
  <c r="AM103" i="50"/>
  <c r="AD5" i="32"/>
  <c r="R163" i="53"/>
  <c r="X163" i="53" s="1"/>
  <c r="S87" i="32"/>
  <c r="Z87" i="32" s="1"/>
  <c r="S85" i="32"/>
  <c r="Z85" i="32" s="1"/>
  <c r="S77" i="32"/>
  <c r="Z77" i="32" s="1"/>
  <c r="S58" i="32"/>
  <c r="Z58" i="32" s="1"/>
  <c r="S48" i="32"/>
  <c r="Z48" i="32" s="1"/>
  <c r="S47" i="32"/>
  <c r="Z47" i="32" s="1"/>
  <c r="S44" i="32"/>
  <c r="Z44" i="32" s="1"/>
  <c r="S42" i="32"/>
  <c r="Z42" i="32" s="1"/>
  <c r="S35" i="32"/>
  <c r="Z35" i="32" s="1"/>
  <c r="S90" i="32"/>
  <c r="Z90" i="32" s="1"/>
  <c r="S81" i="32"/>
  <c r="Z81" i="32" s="1"/>
  <c r="S75" i="32"/>
  <c r="Z75" i="32" s="1"/>
  <c r="S59" i="32"/>
  <c r="Z59" i="32" s="1"/>
  <c r="S56" i="32"/>
  <c r="Z56" i="32" s="1"/>
  <c r="S55" i="32"/>
  <c r="Z55" i="32" s="1"/>
  <c r="S45" i="32"/>
  <c r="Z45" i="32" s="1"/>
  <c r="S30" i="32"/>
  <c r="Z30" i="32" s="1"/>
  <c r="S92" i="32"/>
  <c r="Z92" i="32" s="1"/>
  <c r="S83" i="32"/>
  <c r="Z83" i="32" s="1"/>
  <c r="S53" i="32"/>
  <c r="Z53" i="32" s="1"/>
  <c r="S52" i="32"/>
  <c r="Z52" i="32" s="1"/>
  <c r="S50" i="32"/>
  <c r="Z50" i="32" s="1"/>
  <c r="S43" i="32"/>
  <c r="Z43" i="32" s="1"/>
  <c r="S38" i="32"/>
  <c r="Z38" i="32" s="1"/>
  <c r="S25" i="32"/>
  <c r="Z25" i="32" s="1"/>
  <c r="S78" i="32"/>
  <c r="Z78" i="32" s="1"/>
  <c r="S74" i="32"/>
  <c r="Z74" i="32" s="1"/>
  <c r="S67" i="32"/>
  <c r="Z67" i="32" s="1"/>
  <c r="S29" i="32"/>
  <c r="Z29" i="32" s="1"/>
  <c r="S26" i="32"/>
  <c r="Z26" i="32" s="1"/>
  <c r="S86" i="32"/>
  <c r="Z86" i="32" s="1"/>
  <c r="S82" i="32"/>
  <c r="Z82" i="32" s="1"/>
  <c r="S80" i="32"/>
  <c r="Z80" i="32" s="1"/>
  <c r="S72" i="32"/>
  <c r="Z72" i="32" s="1"/>
  <c r="S65" i="32"/>
  <c r="Z65" i="32" s="1"/>
  <c r="S63" i="32"/>
  <c r="Z63" i="32" s="1"/>
  <c r="S49" i="32"/>
  <c r="Z49" i="32" s="1"/>
  <c r="S40" i="32"/>
  <c r="Z40" i="32" s="1"/>
  <c r="S32" i="32"/>
  <c r="Z32" i="32" s="1"/>
  <c r="S89" i="32"/>
  <c r="Z89" i="32" s="1"/>
  <c r="S70" i="32"/>
  <c r="Z70" i="32" s="1"/>
  <c r="S68" i="32"/>
  <c r="Z68" i="32" s="1"/>
  <c r="S66" i="32"/>
  <c r="Z66" i="32" s="1"/>
  <c r="S64" i="32"/>
  <c r="Z64" i="32" s="1"/>
  <c r="S62" i="32"/>
  <c r="Z62" i="32" s="1"/>
  <c r="S61" i="32"/>
  <c r="Z61" i="32" s="1"/>
  <c r="S34" i="32"/>
  <c r="Z34" i="32" s="1"/>
  <c r="S33" i="32"/>
  <c r="Z33" i="32" s="1"/>
  <c r="S31" i="32"/>
  <c r="Z31" i="32" s="1"/>
  <c r="S91" i="32"/>
  <c r="Z91" i="32" s="1"/>
  <c r="S88" i="32"/>
  <c r="Z88" i="32" s="1"/>
  <c r="S84" i="32"/>
  <c r="Z84" i="32" s="1"/>
  <c r="S79" i="32"/>
  <c r="Z79" i="32" s="1"/>
  <c r="S76" i="32"/>
  <c r="Z76" i="32" s="1"/>
  <c r="S69" i="32"/>
  <c r="Z69" i="32" s="1"/>
  <c r="S60" i="32"/>
  <c r="Z60" i="32" s="1"/>
  <c r="S57" i="32"/>
  <c r="Z57" i="32" s="1"/>
  <c r="S41" i="32"/>
  <c r="Z41" i="32" s="1"/>
  <c r="S39" i="32"/>
  <c r="Z39" i="32" s="1"/>
  <c r="S37" i="32"/>
  <c r="Z37" i="32" s="1"/>
  <c r="S28" i="32"/>
  <c r="Z28" i="32" s="1"/>
  <c r="S73" i="32"/>
  <c r="Z73" i="32" s="1"/>
  <c r="S71" i="32"/>
  <c r="Z71" i="32" s="1"/>
  <c r="S54" i="32"/>
  <c r="Z54" i="32" s="1"/>
  <c r="S51" i="32"/>
  <c r="Z51" i="32" s="1"/>
  <c r="S46" i="32"/>
  <c r="Z46" i="32" s="1"/>
  <c r="S36" i="32"/>
  <c r="Z36" i="32" s="1"/>
  <c r="S27" i="32"/>
  <c r="Z27" i="32" s="1"/>
  <c r="AL101" i="50"/>
  <c r="AY147" i="69"/>
  <c r="L164" i="57"/>
  <c r="AG163" i="53"/>
  <c r="AH163" i="53"/>
  <c r="AT163" i="53"/>
  <c r="N164" i="57"/>
  <c r="K164" i="53"/>
  <c r="AH147" i="69"/>
  <c r="Q163" i="53"/>
  <c r="AD163" i="53"/>
  <c r="P164" i="53"/>
  <c r="J164" i="53"/>
  <c r="D164" i="53"/>
  <c r="C164" i="53"/>
  <c r="AK163" i="52" a="1"/>
  <c r="AK163" i="52" s="1"/>
  <c r="B165" i="53" s="1"/>
  <c r="H164" i="53"/>
  <c r="L164" i="53"/>
  <c r="E164" i="53"/>
  <c r="G164" i="53"/>
  <c r="F164" i="53"/>
  <c r="I164" i="53"/>
  <c r="A94" i="32"/>
  <c r="B94" i="32"/>
  <c r="R94" i="32" s="1"/>
  <c r="G104" i="50"/>
  <c r="M104" i="50"/>
  <c r="B104" i="50"/>
  <c r="R104" i="50" s="1"/>
  <c r="I104" i="50"/>
  <c r="N104" i="50"/>
  <c r="K104" i="50"/>
  <c r="L104" i="50"/>
  <c r="F104" i="50"/>
  <c r="U104" i="50" s="1"/>
  <c r="H104" i="50"/>
  <c r="A104" i="50"/>
  <c r="J104" i="50"/>
  <c r="G94" i="32"/>
  <c r="H94" i="32"/>
  <c r="J94" i="32"/>
  <c r="L94" i="32"/>
  <c r="F94" i="32"/>
  <c r="U94" i="32" s="1"/>
  <c r="I94" i="32"/>
  <c r="N94" i="32"/>
  <c r="M94" i="32"/>
  <c r="K94" i="32"/>
  <c r="K164" i="57"/>
  <c r="H164" i="57"/>
  <c r="F164" i="57"/>
  <c r="C164" i="57"/>
  <c r="I164" i="57"/>
  <c r="E164" i="57"/>
  <c r="G164" i="57"/>
  <c r="D164" i="57"/>
  <c r="J164" i="57"/>
  <c r="AN163" i="55" a="1"/>
  <c r="AN163" i="55" s="1"/>
  <c r="B165" i="57" s="1"/>
  <c r="AR149" i="67" a="1"/>
  <c r="AR149" i="67" s="1"/>
  <c r="B150" i="69"/>
  <c r="L150" i="69" s="1"/>
  <c r="D148" i="69"/>
  <c r="E148" i="69" s="1"/>
  <c r="F148" i="69" s="1"/>
  <c r="G148" i="69" s="1"/>
  <c r="H148" i="69" s="1"/>
  <c r="I148" i="69" s="1"/>
  <c r="J148" i="69" s="1"/>
  <c r="K148" i="69" s="1"/>
  <c r="M148" i="69" s="1"/>
  <c r="AE147" i="69"/>
  <c r="R147" i="69"/>
  <c r="S147" i="69" s="1"/>
  <c r="Y147" i="69" s="1"/>
  <c r="C149" i="69"/>
  <c r="P149" i="69" s="1"/>
  <c r="AL94" i="11" a="1"/>
  <c r="AL94" i="11" s="1"/>
  <c r="AP104" i="59" a="1"/>
  <c r="AP104" i="59" s="1"/>
  <c r="E105" i="50" s="1"/>
  <c r="X162" i="57" l="1"/>
  <c r="AF162" i="57" s="1"/>
  <c r="Q163" i="57"/>
  <c r="T163" i="57" s="1"/>
  <c r="AD33" i="32"/>
  <c r="AD46" i="32"/>
  <c r="AD64" i="32"/>
  <c r="AD73" i="32"/>
  <c r="AD91" i="32"/>
  <c r="AD15" i="32"/>
  <c r="AD49" i="32"/>
  <c r="AD76" i="32"/>
  <c r="AD90" i="32"/>
  <c r="AD93" i="32"/>
  <c r="AG93" i="32" s="1"/>
  <c r="AH93" i="32" s="1"/>
  <c r="AD41" i="32"/>
  <c r="AD65" i="32"/>
  <c r="AG65" i="32" s="1"/>
  <c r="AH65" i="32" s="1"/>
  <c r="AD21" i="32"/>
  <c r="AD32" i="32"/>
  <c r="AD47" i="32"/>
  <c r="AD67" i="32"/>
  <c r="AD83" i="32"/>
  <c r="AG83" i="32" s="1"/>
  <c r="AH83" i="32" s="1"/>
  <c r="AD34" i="32"/>
  <c r="AD52" i="32"/>
  <c r="AD77" i="32"/>
  <c r="AG77" i="32" s="1"/>
  <c r="AH77" i="32" s="1"/>
  <c r="AD39" i="32"/>
  <c r="AG39" i="32" s="1"/>
  <c r="AH39" i="32" s="1"/>
  <c r="AD54" i="32"/>
  <c r="AD70" i="32"/>
  <c r="AD78" i="32"/>
  <c r="AD92" i="32"/>
  <c r="AG92" i="32" s="1"/>
  <c r="AH92" i="32" s="1"/>
  <c r="AD26" i="32"/>
  <c r="AD56" i="32"/>
  <c r="AD86" i="32"/>
  <c r="AG86" i="32" s="1"/>
  <c r="AH86" i="32" s="1"/>
  <c r="AD17" i="32"/>
  <c r="AD25" i="32"/>
  <c r="AD51" i="32"/>
  <c r="AD66" i="32"/>
  <c r="AD14" i="32"/>
  <c r="AD35" i="32"/>
  <c r="AD48" i="32"/>
  <c r="AD68" i="32"/>
  <c r="AD85" i="32"/>
  <c r="AD40" i="32"/>
  <c r="AD55" i="32"/>
  <c r="AD79" i="32"/>
  <c r="AD42" i="32"/>
  <c r="AD60" i="32"/>
  <c r="AD71" i="32"/>
  <c r="AG71" i="32" s="1"/>
  <c r="AH71" i="32" s="1"/>
  <c r="AD82" i="32"/>
  <c r="AD18" i="32"/>
  <c r="AD29" i="32"/>
  <c r="AD63" i="32"/>
  <c r="AD87" i="32"/>
  <c r="AD19" i="32"/>
  <c r="AD30" i="32"/>
  <c r="AD53" i="32"/>
  <c r="AD81" i="32"/>
  <c r="AG81" i="32" s="1"/>
  <c r="AH81" i="32" s="1"/>
  <c r="AD27" i="32"/>
  <c r="AD38" i="32"/>
  <c r="AD57" i="32"/>
  <c r="AG57" i="32" s="1"/>
  <c r="AH57" i="32" s="1"/>
  <c r="AD75" i="32"/>
  <c r="AD22" i="32"/>
  <c r="AG22" i="32" s="1"/>
  <c r="AH22" i="32" s="1"/>
  <c r="AD44" i="32"/>
  <c r="AG44" i="32" s="1"/>
  <c r="AH44" i="32" s="1"/>
  <c r="AD58" i="32"/>
  <c r="AD20" i="32"/>
  <c r="AD28" i="32"/>
  <c r="AG28" i="32" s="1"/>
  <c r="AH28" i="32" s="1"/>
  <c r="AD45" i="32"/>
  <c r="AD62" i="32"/>
  <c r="AG62" i="32" s="1"/>
  <c r="AH62" i="32" s="1"/>
  <c r="AD72" i="32"/>
  <c r="AD84" i="32"/>
  <c r="AD23" i="32"/>
  <c r="AG23" i="32" s="1"/>
  <c r="AH23" i="32" s="1"/>
  <c r="AD36" i="32"/>
  <c r="AG36" i="32" s="1"/>
  <c r="AH36" i="32" s="1"/>
  <c r="AD69" i="32"/>
  <c r="AD88" i="32"/>
  <c r="AD16" i="32"/>
  <c r="AD37" i="32"/>
  <c r="AD61" i="32"/>
  <c r="AD89" i="32"/>
  <c r="AD31" i="32"/>
  <c r="AD43" i="32"/>
  <c r="AG43" i="32" s="1"/>
  <c r="AH43" i="32" s="1"/>
  <c r="AD59" i="32"/>
  <c r="AD80" i="32"/>
  <c r="AD24" i="32"/>
  <c r="AG24" i="32" s="1"/>
  <c r="AH24" i="32" s="1"/>
  <c r="AD50" i="32"/>
  <c r="AD74" i="32"/>
  <c r="AD103" i="50"/>
  <c r="AG103" i="50" s="1"/>
  <c r="AG164" i="57"/>
  <c r="AE163" i="57"/>
  <c r="M165" i="53"/>
  <c r="AC165" i="53" s="1"/>
  <c r="O165" i="53"/>
  <c r="AP149" i="69"/>
  <c r="N149" i="69"/>
  <c r="U149" i="69" s="1"/>
  <c r="AB161" i="57"/>
  <c r="AF161" i="57"/>
  <c r="AQ163" i="57"/>
  <c r="AD163" i="57"/>
  <c r="AJ163" i="57"/>
  <c r="R163" i="57"/>
  <c r="AC163" i="57"/>
  <c r="M164" i="57"/>
  <c r="AK164" i="57" s="1"/>
  <c r="Q104" i="50"/>
  <c r="P104" i="50" s="1"/>
  <c r="Q94" i="32"/>
  <c r="P94" i="32" s="1"/>
  <c r="N165" i="53"/>
  <c r="O105" i="50"/>
  <c r="T105" i="50"/>
  <c r="AA163" i="53"/>
  <c r="AB163" i="53"/>
  <c r="AP101" i="50"/>
  <c r="AM94" i="32"/>
  <c r="AJ103" i="50"/>
  <c r="C103" i="50"/>
  <c r="S104" i="50"/>
  <c r="Z104" i="50" s="1"/>
  <c r="AJ20" i="32"/>
  <c r="W20" i="32"/>
  <c r="X20" i="32" s="1"/>
  <c r="C20" i="32"/>
  <c r="AJ17" i="32"/>
  <c r="W17" i="32"/>
  <c r="X17" i="32" s="1"/>
  <c r="C17" i="32"/>
  <c r="W19" i="32"/>
  <c r="X19" i="32" s="1"/>
  <c r="C19" i="32"/>
  <c r="AJ19" i="32"/>
  <c r="AJ18" i="32"/>
  <c r="C18" i="32"/>
  <c r="W18" i="32"/>
  <c r="X18" i="32" s="1"/>
  <c r="AJ21" i="32"/>
  <c r="W21" i="32"/>
  <c r="X21" i="32" s="1"/>
  <c r="C21" i="32"/>
  <c r="C14" i="32"/>
  <c r="AJ14" i="32"/>
  <c r="W14" i="32"/>
  <c r="X14" i="32" s="1"/>
  <c r="W16" i="32"/>
  <c r="X16" i="32" s="1"/>
  <c r="AJ16" i="32"/>
  <c r="C16" i="32"/>
  <c r="AJ15" i="32"/>
  <c r="W15" i="32"/>
  <c r="C15" i="32"/>
  <c r="C13" i="32"/>
  <c r="W13" i="32"/>
  <c r="AJ13" i="32"/>
  <c r="Z12" i="32"/>
  <c r="W12" i="32"/>
  <c r="C12" i="32"/>
  <c r="AJ12" i="32"/>
  <c r="AJ23" i="32"/>
  <c r="C24" i="32"/>
  <c r="AJ24" i="32"/>
  <c r="C22" i="32"/>
  <c r="AJ22" i="32"/>
  <c r="W22" i="32"/>
  <c r="X22" i="32" s="1"/>
  <c r="AJ93" i="32"/>
  <c r="C93" i="32"/>
  <c r="C23" i="32"/>
  <c r="S94" i="32"/>
  <c r="Z94" i="32" s="1"/>
  <c r="C31" i="32"/>
  <c r="AJ31" i="32"/>
  <c r="C70" i="32"/>
  <c r="AJ70" i="32"/>
  <c r="C80" i="32"/>
  <c r="AJ80" i="32"/>
  <c r="C25" i="32"/>
  <c r="AJ25" i="32"/>
  <c r="C30" i="32"/>
  <c r="AJ30" i="32"/>
  <c r="C35" i="32"/>
  <c r="AJ35" i="32"/>
  <c r="C87" i="32"/>
  <c r="AJ87" i="32"/>
  <c r="C60" i="32"/>
  <c r="AJ60" i="32"/>
  <c r="C33" i="32"/>
  <c r="AJ33" i="32"/>
  <c r="C89" i="32"/>
  <c r="AJ89" i="32"/>
  <c r="C82" i="32"/>
  <c r="AJ82" i="32"/>
  <c r="C38" i="32"/>
  <c r="AJ38" i="32"/>
  <c r="C45" i="32"/>
  <c r="AJ45" i="32"/>
  <c r="C42" i="32"/>
  <c r="AJ42" i="32"/>
  <c r="C51" i="32"/>
  <c r="AJ51" i="32"/>
  <c r="C34" i="32"/>
  <c r="AJ34" i="32"/>
  <c r="C32" i="32"/>
  <c r="AJ32" i="32"/>
  <c r="C86" i="32"/>
  <c r="AJ86" i="32"/>
  <c r="C43" i="32"/>
  <c r="AJ43" i="32"/>
  <c r="C55" i="32"/>
  <c r="AJ55" i="32"/>
  <c r="C44" i="32"/>
  <c r="AJ44" i="32"/>
  <c r="C69" i="32"/>
  <c r="AJ69" i="32"/>
  <c r="C76" i="32"/>
  <c r="AJ76" i="32"/>
  <c r="C61" i="32"/>
  <c r="AJ61" i="32"/>
  <c r="C40" i="32"/>
  <c r="AJ40" i="32"/>
  <c r="C26" i="32"/>
  <c r="AJ26" i="32"/>
  <c r="C50" i="32"/>
  <c r="AJ50" i="32"/>
  <c r="C56" i="32"/>
  <c r="AJ56" i="32"/>
  <c r="C47" i="32"/>
  <c r="AJ47" i="32"/>
  <c r="C54" i="32"/>
  <c r="AJ54" i="32"/>
  <c r="C73" i="32"/>
  <c r="AJ73" i="32"/>
  <c r="C28" i="32"/>
  <c r="AJ28" i="32"/>
  <c r="C79" i="32"/>
  <c r="AJ79" i="32"/>
  <c r="C62" i="32"/>
  <c r="AJ62" i="32"/>
  <c r="C49" i="32"/>
  <c r="AJ49" i="32"/>
  <c r="C29" i="32"/>
  <c r="AJ29" i="32"/>
  <c r="C52" i="32"/>
  <c r="AJ52" i="32"/>
  <c r="C59" i="32"/>
  <c r="AJ59" i="32"/>
  <c r="C48" i="32"/>
  <c r="AJ48" i="32"/>
  <c r="C27" i="32"/>
  <c r="AJ27" i="32"/>
  <c r="C37" i="32"/>
  <c r="AJ37" i="32"/>
  <c r="C84" i="32"/>
  <c r="AJ84" i="32"/>
  <c r="C64" i="32"/>
  <c r="AJ64" i="32"/>
  <c r="C63" i="32"/>
  <c r="AJ63" i="32"/>
  <c r="C67" i="32"/>
  <c r="AJ67" i="32"/>
  <c r="C53" i="32"/>
  <c r="AJ53" i="32"/>
  <c r="C75" i="32"/>
  <c r="AJ75" i="32"/>
  <c r="C58" i="32"/>
  <c r="AJ58" i="32"/>
  <c r="C57" i="32"/>
  <c r="AJ57" i="32"/>
  <c r="C36" i="32"/>
  <c r="AJ36" i="32"/>
  <c r="C39" i="32"/>
  <c r="AJ39" i="32"/>
  <c r="C88" i="32"/>
  <c r="AJ88" i="32"/>
  <c r="C66" i="32"/>
  <c r="AJ66" i="32"/>
  <c r="C65" i="32"/>
  <c r="AJ65" i="32"/>
  <c r="C74" i="32"/>
  <c r="AJ74" i="32"/>
  <c r="C83" i="32"/>
  <c r="AJ83" i="32"/>
  <c r="C81" i="32"/>
  <c r="AJ81" i="32"/>
  <c r="C77" i="32"/>
  <c r="AJ77" i="32"/>
  <c r="C71" i="32"/>
  <c r="AJ71" i="32"/>
  <c r="C46" i="32"/>
  <c r="AJ46" i="32"/>
  <c r="C41" i="32"/>
  <c r="AJ41" i="32"/>
  <c r="C91" i="32"/>
  <c r="AJ91" i="32"/>
  <c r="C68" i="32"/>
  <c r="AJ68" i="32"/>
  <c r="C72" i="32"/>
  <c r="AJ72" i="32"/>
  <c r="C78" i="32"/>
  <c r="AJ78" i="32"/>
  <c r="C92" i="32"/>
  <c r="AJ92" i="32"/>
  <c r="C90" i="32"/>
  <c r="AJ90" i="32"/>
  <c r="C85" i="32"/>
  <c r="AJ85" i="32"/>
  <c r="W103" i="50"/>
  <c r="W23" i="32"/>
  <c r="X23" i="32" s="1"/>
  <c r="W27" i="32"/>
  <c r="X27" i="32" s="1"/>
  <c r="W36" i="32"/>
  <c r="X36" i="32" s="1"/>
  <c r="W71" i="32"/>
  <c r="X71" i="32" s="1"/>
  <c r="W39" i="32"/>
  <c r="X39" i="32" s="1"/>
  <c r="W69" i="32"/>
  <c r="X69" i="32" s="1"/>
  <c r="W88" i="32"/>
  <c r="X88" i="32" s="1"/>
  <c r="W34" i="32"/>
  <c r="X34" i="32" s="1"/>
  <c r="W66" i="32"/>
  <c r="X66" i="32" s="1"/>
  <c r="W32" i="32"/>
  <c r="X32" i="32" s="1"/>
  <c r="W65" i="32"/>
  <c r="X65" i="32" s="1"/>
  <c r="W86" i="32"/>
  <c r="X86" i="32" s="1"/>
  <c r="W74" i="32"/>
  <c r="X74" i="32" s="1"/>
  <c r="W43" i="32"/>
  <c r="X43" i="32" s="1"/>
  <c r="W83" i="32"/>
  <c r="X83" i="32" s="1"/>
  <c r="W55" i="32"/>
  <c r="X55" i="32" s="1"/>
  <c r="W81" i="32"/>
  <c r="X81" i="32" s="1"/>
  <c r="W44" i="32"/>
  <c r="X44" i="32" s="1"/>
  <c r="W77" i="32"/>
  <c r="X77" i="32" s="1"/>
  <c r="W41" i="32"/>
  <c r="X41" i="32" s="1"/>
  <c r="W76" i="32"/>
  <c r="X76" i="32" s="1"/>
  <c r="W91" i="32"/>
  <c r="X91" i="32" s="1"/>
  <c r="W61" i="32"/>
  <c r="X61" i="32" s="1"/>
  <c r="W68" i="32"/>
  <c r="X68" i="32" s="1"/>
  <c r="W40" i="32"/>
  <c r="X40" i="32" s="1"/>
  <c r="W72" i="32"/>
  <c r="X72" i="32" s="1"/>
  <c r="W26" i="32"/>
  <c r="X26" i="32" s="1"/>
  <c r="W78" i="32"/>
  <c r="X78" i="32" s="1"/>
  <c r="W50" i="32"/>
  <c r="X50" i="32" s="1"/>
  <c r="W92" i="32"/>
  <c r="X92" i="32" s="1"/>
  <c r="W56" i="32"/>
  <c r="X56" i="32" s="1"/>
  <c r="W90" i="32"/>
  <c r="X90" i="32" s="1"/>
  <c r="W47" i="32"/>
  <c r="X47" i="32" s="1"/>
  <c r="W85" i="32"/>
  <c r="X85" i="32" s="1"/>
  <c r="W46" i="32"/>
  <c r="X46" i="32" s="1"/>
  <c r="W73" i="32"/>
  <c r="X73" i="32" s="1"/>
  <c r="W51" i="32"/>
  <c r="X51" i="32" s="1"/>
  <c r="W28" i="32"/>
  <c r="X28" i="32" s="1"/>
  <c r="W57" i="32"/>
  <c r="X57" i="32" s="1"/>
  <c r="W79" i="32"/>
  <c r="X79" i="32" s="1"/>
  <c r="W31" i="32"/>
  <c r="X31" i="32" s="1"/>
  <c r="W62" i="32"/>
  <c r="X62" i="32" s="1"/>
  <c r="W70" i="32"/>
  <c r="X70" i="32" s="1"/>
  <c r="W49" i="32"/>
  <c r="X49" i="32" s="1"/>
  <c r="W80" i="32"/>
  <c r="X80" i="32" s="1"/>
  <c r="W29" i="32"/>
  <c r="X29" i="32" s="1"/>
  <c r="W25" i="32"/>
  <c r="X25" i="32" s="1"/>
  <c r="W52" i="32"/>
  <c r="X52" i="32" s="1"/>
  <c r="W30" i="32"/>
  <c r="X30" i="32" s="1"/>
  <c r="W59" i="32"/>
  <c r="X59" i="32" s="1"/>
  <c r="W35" i="32"/>
  <c r="X35" i="32" s="1"/>
  <c r="W48" i="32"/>
  <c r="X48" i="32" s="1"/>
  <c r="W87" i="32"/>
  <c r="X87" i="32" s="1"/>
  <c r="W93" i="32"/>
  <c r="X93" i="32" s="1"/>
  <c r="W24" i="32"/>
  <c r="X24" i="32" s="1"/>
  <c r="W54" i="32"/>
  <c r="X54" i="32" s="1"/>
  <c r="W37" i="32"/>
  <c r="X37" i="32" s="1"/>
  <c r="W60" i="32"/>
  <c r="X60" i="32" s="1"/>
  <c r="W84" i="32"/>
  <c r="X84" i="32" s="1"/>
  <c r="W33" i="32"/>
  <c r="X33" i="32" s="1"/>
  <c r="W64" i="32"/>
  <c r="X64" i="32" s="1"/>
  <c r="W89" i="32"/>
  <c r="X89" i="32" s="1"/>
  <c r="W63" i="32"/>
  <c r="X63" i="32" s="1"/>
  <c r="W82" i="32"/>
  <c r="X82" i="32" s="1"/>
  <c r="W67" i="32"/>
  <c r="X67" i="32" s="1"/>
  <c r="W38" i="32"/>
  <c r="X38" i="32" s="1"/>
  <c r="W53" i="32"/>
  <c r="X53" i="32" s="1"/>
  <c r="W45" i="32"/>
  <c r="X45" i="32" s="1"/>
  <c r="W75" i="32"/>
  <c r="X75" i="32" s="1"/>
  <c r="W42" i="32"/>
  <c r="X42" i="32" s="1"/>
  <c r="W58" i="32"/>
  <c r="X58" i="32" s="1"/>
  <c r="V14" i="32"/>
  <c r="X102" i="50"/>
  <c r="V103" i="50"/>
  <c r="AF148" i="69"/>
  <c r="Q148" i="69"/>
  <c r="O165" i="57"/>
  <c r="P165" i="57"/>
  <c r="AC146" i="69"/>
  <c r="AD146" i="69" s="1"/>
  <c r="AH102" i="50"/>
  <c r="AI102" i="50" s="1"/>
  <c r="AB147" i="69"/>
  <c r="AG147" i="69"/>
  <c r="O150" i="69"/>
  <c r="AO149" i="69"/>
  <c r="AK105" i="50"/>
  <c r="AF163" i="53"/>
  <c r="AE164" i="53"/>
  <c r="AM104" i="50"/>
  <c r="R164" i="53"/>
  <c r="X164" i="53" s="1"/>
  <c r="V54" i="32"/>
  <c r="V60" i="32"/>
  <c r="V33" i="32"/>
  <c r="V89" i="32"/>
  <c r="V82" i="32"/>
  <c r="V38" i="32"/>
  <c r="V45" i="32"/>
  <c r="V42" i="32"/>
  <c r="V34" i="32"/>
  <c r="V43" i="32"/>
  <c r="V55" i="32"/>
  <c r="V44" i="32"/>
  <c r="V32" i="32"/>
  <c r="V73" i="32"/>
  <c r="V76" i="32"/>
  <c r="V61" i="32"/>
  <c r="V40" i="32"/>
  <c r="V26" i="32"/>
  <c r="V50" i="32"/>
  <c r="V56" i="32"/>
  <c r="V47" i="32"/>
  <c r="V86" i="32"/>
  <c r="V28" i="32"/>
  <c r="V79" i="32"/>
  <c r="V62" i="32"/>
  <c r="V49" i="32"/>
  <c r="V29" i="32"/>
  <c r="V52" i="32"/>
  <c r="V59" i="32"/>
  <c r="V48" i="32"/>
  <c r="V27" i="32"/>
  <c r="V37" i="32"/>
  <c r="V84" i="32"/>
  <c r="V64" i="32"/>
  <c r="V63" i="32"/>
  <c r="V67" i="32"/>
  <c r="V53" i="32"/>
  <c r="V75" i="32"/>
  <c r="V58" i="32"/>
  <c r="V71" i="32"/>
  <c r="V36" i="32"/>
  <c r="V39" i="32"/>
  <c r="V88" i="32"/>
  <c r="V66" i="32"/>
  <c r="V65" i="32"/>
  <c r="V74" i="32"/>
  <c r="V83" i="32"/>
  <c r="V81" i="32"/>
  <c r="V77" i="32"/>
  <c r="V69" i="32"/>
  <c r="V46" i="32"/>
  <c r="V41" i="32"/>
  <c r="V91" i="32"/>
  <c r="V68" i="32"/>
  <c r="V72" i="32"/>
  <c r="V78" i="32"/>
  <c r="V92" i="32"/>
  <c r="V90" i="32"/>
  <c r="V85" i="32"/>
  <c r="V51" i="32"/>
  <c r="V57" i="32"/>
  <c r="V31" i="32"/>
  <c r="V70" i="32"/>
  <c r="V80" i="32"/>
  <c r="V25" i="32"/>
  <c r="V30" i="32"/>
  <c r="V35" i="32"/>
  <c r="V87" i="32"/>
  <c r="AL102" i="50"/>
  <c r="V20" i="32"/>
  <c r="V18" i="32"/>
  <c r="V17" i="32"/>
  <c r="V22" i="32"/>
  <c r="V23" i="32"/>
  <c r="V21" i="32"/>
  <c r="V19" i="32"/>
  <c r="V24" i="32"/>
  <c r="AY148" i="69"/>
  <c r="L165" i="57"/>
  <c r="AH164" i="53"/>
  <c r="AT164" i="53"/>
  <c r="AG164" i="53"/>
  <c r="V16" i="32"/>
  <c r="N165" i="57"/>
  <c r="K165" i="53"/>
  <c r="AH148" i="69"/>
  <c r="V93" i="32"/>
  <c r="Q164" i="53"/>
  <c r="AD164" i="53"/>
  <c r="E165" i="53"/>
  <c r="H165" i="53"/>
  <c r="J165" i="53"/>
  <c r="D165" i="53"/>
  <c r="P165" i="53"/>
  <c r="C165" i="53"/>
  <c r="L165" i="53"/>
  <c r="I165" i="53"/>
  <c r="G165" i="53"/>
  <c r="F165" i="53"/>
  <c r="AK164" i="52" a="1"/>
  <c r="AK164" i="52" s="1"/>
  <c r="B166" i="53" s="1"/>
  <c r="H105" i="50"/>
  <c r="I105" i="50"/>
  <c r="J105" i="50"/>
  <c r="B105" i="50"/>
  <c r="R105" i="50" s="1"/>
  <c r="L105" i="50"/>
  <c r="M105" i="50"/>
  <c r="A105" i="50"/>
  <c r="G105" i="50"/>
  <c r="F105" i="50"/>
  <c r="U105" i="50" s="1"/>
  <c r="K105" i="50"/>
  <c r="N105" i="50"/>
  <c r="H165" i="57"/>
  <c r="E165" i="57"/>
  <c r="J165" i="57"/>
  <c r="F165" i="57"/>
  <c r="K165" i="57"/>
  <c r="G165" i="57"/>
  <c r="C165" i="57"/>
  <c r="I165" i="57"/>
  <c r="D165" i="57"/>
  <c r="E95" i="32"/>
  <c r="AN164" i="55" a="1"/>
  <c r="AN164" i="55" s="1"/>
  <c r="B166" i="57" s="1"/>
  <c r="AR150" i="67" a="1"/>
  <c r="AR150" i="67" s="1"/>
  <c r="B151" i="69"/>
  <c r="L151" i="69" s="1"/>
  <c r="AE148" i="69"/>
  <c r="R148" i="69"/>
  <c r="S148" i="69" s="1"/>
  <c r="Y148" i="69" s="1"/>
  <c r="D149" i="69"/>
  <c r="E149" i="69" s="1"/>
  <c r="F149" i="69" s="1"/>
  <c r="G149" i="69" s="1"/>
  <c r="H149" i="69" s="1"/>
  <c r="I149" i="69" s="1"/>
  <c r="J149" i="69" s="1"/>
  <c r="K149" i="69" s="1"/>
  <c r="M149" i="69" s="1"/>
  <c r="C150" i="69"/>
  <c r="P150" i="69" s="1"/>
  <c r="AL95" i="11" a="1"/>
  <c r="AL95" i="11" s="1"/>
  <c r="E96" i="32" s="1"/>
  <c r="AP105" i="59" a="1"/>
  <c r="AP105" i="59" s="1"/>
  <c r="E106" i="50" s="1"/>
  <c r="X163" i="57" l="1"/>
  <c r="AF163" i="57" s="1"/>
  <c r="AQ164" i="57"/>
  <c r="AD94" i="32"/>
  <c r="AG94" i="32" s="1"/>
  <c r="AH94" i="32" s="1"/>
  <c r="AD104" i="50"/>
  <c r="AG104" i="50" s="1"/>
  <c r="AG165" i="57"/>
  <c r="AB162" i="57"/>
  <c r="R164" i="57"/>
  <c r="AC164" i="57"/>
  <c r="AA162" i="57"/>
  <c r="M166" i="53"/>
  <c r="AC166" i="53" s="1"/>
  <c r="O166" i="53"/>
  <c r="AP150" i="69"/>
  <c r="N150" i="69"/>
  <c r="U150" i="69" s="1"/>
  <c r="Q164" i="57"/>
  <c r="T164" i="57" s="1"/>
  <c r="AJ164" i="57"/>
  <c r="AD164" i="57"/>
  <c r="AE164" i="57"/>
  <c r="M165" i="57"/>
  <c r="AK165" i="57" s="1"/>
  <c r="Q105" i="50"/>
  <c r="P105" i="50" s="1"/>
  <c r="N166" i="53"/>
  <c r="O96" i="32"/>
  <c r="T96" i="32"/>
  <c r="T95" i="32"/>
  <c r="O95" i="32"/>
  <c r="T106" i="50"/>
  <c r="O106" i="50"/>
  <c r="AA164" i="53"/>
  <c r="AB164" i="53"/>
  <c r="AP102" i="50"/>
  <c r="AG25" i="32"/>
  <c r="AG85" i="32"/>
  <c r="AG78" i="32"/>
  <c r="AG45" i="32"/>
  <c r="AG53" i="32"/>
  <c r="AG75" i="32"/>
  <c r="AG40" i="32"/>
  <c r="AG73" i="32"/>
  <c r="AH73" i="32" s="1"/>
  <c r="AG49" i="32"/>
  <c r="AG35" i="32"/>
  <c r="AG34" i="32"/>
  <c r="AG64" i="32"/>
  <c r="AG68" i="32"/>
  <c r="AH68" i="32" s="1"/>
  <c r="AG26" i="32"/>
  <c r="AG56" i="32"/>
  <c r="AG67" i="32"/>
  <c r="AG30" i="32"/>
  <c r="AG79" i="32"/>
  <c r="AG48" i="32"/>
  <c r="AG80" i="32"/>
  <c r="AG55" i="32"/>
  <c r="AG87" i="32"/>
  <c r="AG59" i="32"/>
  <c r="AG74" i="32"/>
  <c r="AG46" i="32"/>
  <c r="AG60" i="32"/>
  <c r="AG89" i="32"/>
  <c r="AG88" i="32"/>
  <c r="AG41" i="32"/>
  <c r="AG32" i="32"/>
  <c r="AG66" i="32"/>
  <c r="AH66" i="32" s="1"/>
  <c r="AG42" i="32"/>
  <c r="AH42" i="32" s="1"/>
  <c r="AG70" i="32"/>
  <c r="AG33" i="32"/>
  <c r="AH33" i="32" s="1"/>
  <c r="AG47" i="32"/>
  <c r="AG38" i="32"/>
  <c r="AG54" i="32"/>
  <c r="AG76" i="32"/>
  <c r="AG50" i="32"/>
  <c r="AH50" i="32" s="1"/>
  <c r="AG61" i="32"/>
  <c r="AG84" i="32"/>
  <c r="AG72" i="32"/>
  <c r="AG37" i="32"/>
  <c r="AG91" i="32"/>
  <c r="AG52" i="32"/>
  <c r="AG58" i="32"/>
  <c r="AG31" i="32"/>
  <c r="AG63" i="32"/>
  <c r="AG27" i="32"/>
  <c r="AG69" i="32"/>
  <c r="AG90" i="32"/>
  <c r="AH90" i="32" s="1"/>
  <c r="AG51" i="32"/>
  <c r="AG82" i="32"/>
  <c r="AG29" i="32"/>
  <c r="C104" i="50"/>
  <c r="AJ104" i="50"/>
  <c r="S105" i="50"/>
  <c r="Z105" i="50" s="1"/>
  <c r="W94" i="32"/>
  <c r="X94" i="32" s="1"/>
  <c r="C94" i="32"/>
  <c r="AJ94" i="32"/>
  <c r="W104" i="50"/>
  <c r="X103" i="50"/>
  <c r="V104" i="50"/>
  <c r="V94" i="32"/>
  <c r="AF149" i="69"/>
  <c r="Q149" i="69"/>
  <c r="O166" i="57"/>
  <c r="P166" i="57"/>
  <c r="AL78" i="32"/>
  <c r="AL45" i="32"/>
  <c r="AL35" i="32"/>
  <c r="AL49" i="32"/>
  <c r="AC147" i="69"/>
  <c r="AD147" i="69" s="1"/>
  <c r="AH103" i="50"/>
  <c r="AI103" i="50" s="1"/>
  <c r="AL54" i="32"/>
  <c r="AL56" i="32"/>
  <c r="AL30" i="32"/>
  <c r="AL68" i="32"/>
  <c r="AL90" i="32"/>
  <c r="AG14" i="32"/>
  <c r="AH14" i="32" s="1"/>
  <c r="AG21" i="32"/>
  <c r="AH21" i="32" s="1"/>
  <c r="AG20" i="32"/>
  <c r="AH20" i="32" s="1"/>
  <c r="AG18" i="32"/>
  <c r="AH18" i="32" s="1"/>
  <c r="AG19" i="32"/>
  <c r="AH19" i="32" s="1"/>
  <c r="AG17" i="32"/>
  <c r="AH17" i="32" s="1"/>
  <c r="AG16" i="32"/>
  <c r="AH16" i="32" s="1"/>
  <c r="V15" i="32"/>
  <c r="AL60" i="32"/>
  <c r="AL85" i="32"/>
  <c r="AB148" i="69"/>
  <c r="AG148" i="69"/>
  <c r="AO150" i="69"/>
  <c r="O151" i="69"/>
  <c r="AL32" i="32"/>
  <c r="AK106" i="50"/>
  <c r="AL72" i="32"/>
  <c r="AL91" i="32"/>
  <c r="AL42" i="32"/>
  <c r="AL74" i="32"/>
  <c r="AL52" i="32"/>
  <c r="AL70" i="32"/>
  <c r="AL67" i="32"/>
  <c r="AL66" i="32"/>
  <c r="AL37" i="32"/>
  <c r="AL33" i="32"/>
  <c r="AL48" i="32"/>
  <c r="AL69" i="32"/>
  <c r="AL26" i="32"/>
  <c r="AL84" i="32"/>
  <c r="AL73" i="32"/>
  <c r="AL41" i="32"/>
  <c r="AL46" i="32"/>
  <c r="AL29" i="32"/>
  <c r="AL80" i="32"/>
  <c r="AE165" i="53"/>
  <c r="AF164" i="53"/>
  <c r="AL82" i="32"/>
  <c r="AK96" i="32"/>
  <c r="AL27" i="32"/>
  <c r="AL50" i="32"/>
  <c r="AL61" i="32"/>
  <c r="AL34" i="32"/>
  <c r="AK95" i="32"/>
  <c r="AL51" i="32"/>
  <c r="AL58" i="32"/>
  <c r="AL63" i="32"/>
  <c r="AL64" i="32"/>
  <c r="AL79" i="32"/>
  <c r="AL76" i="32"/>
  <c r="AL25" i="32"/>
  <c r="AL31" i="32"/>
  <c r="AL89" i="32"/>
  <c r="AL87" i="32"/>
  <c r="AL53" i="32"/>
  <c r="AL55" i="32"/>
  <c r="AL38" i="32"/>
  <c r="AL75" i="32"/>
  <c r="AL59" i="32"/>
  <c r="AL47" i="32"/>
  <c r="AL40" i="32"/>
  <c r="AL88" i="32"/>
  <c r="AM105" i="50"/>
  <c r="AI28" i="32"/>
  <c r="AN28" i="32" s="1"/>
  <c r="AL28" i="32"/>
  <c r="AI65" i="32"/>
  <c r="AN65" i="32" s="1"/>
  <c r="AL65" i="32"/>
  <c r="AI62" i="32"/>
  <c r="AN62" i="32" s="1"/>
  <c r="AL62" i="32"/>
  <c r="AI43" i="32"/>
  <c r="AN43" i="32" s="1"/>
  <c r="AL43" i="32"/>
  <c r="AI77" i="32"/>
  <c r="AN77" i="32" s="1"/>
  <c r="AL77" i="32"/>
  <c r="AI39" i="32"/>
  <c r="AN39" i="32" s="1"/>
  <c r="AL39" i="32"/>
  <c r="AI57" i="32"/>
  <c r="AN57" i="32" s="1"/>
  <c r="AL57" i="32"/>
  <c r="AL93" i="32"/>
  <c r="AI44" i="32"/>
  <c r="AN44" i="32" s="1"/>
  <c r="AL44" i="32"/>
  <c r="AI81" i="32"/>
  <c r="AN81" i="32" s="1"/>
  <c r="AL81" i="32"/>
  <c r="AI36" i="32"/>
  <c r="AN36" i="32" s="1"/>
  <c r="AL36" i="32"/>
  <c r="AL71" i="32"/>
  <c r="AI83" i="32"/>
  <c r="AN83" i="32" s="1"/>
  <c r="AL83" i="32"/>
  <c r="AI86" i="32"/>
  <c r="AN86" i="32" s="1"/>
  <c r="AL86" i="32"/>
  <c r="V12" i="32"/>
  <c r="R165" i="53"/>
  <c r="X165" i="53" s="1"/>
  <c r="AL103" i="50"/>
  <c r="X15" i="32"/>
  <c r="AY149" i="69"/>
  <c r="L166" i="57"/>
  <c r="X12" i="32"/>
  <c r="V13" i="32"/>
  <c r="AH165" i="53"/>
  <c r="AT165" i="53"/>
  <c r="AG165" i="53"/>
  <c r="N166" i="57"/>
  <c r="P166" i="53"/>
  <c r="AH149" i="69"/>
  <c r="AD165" i="53"/>
  <c r="X13" i="32"/>
  <c r="T13" i="32" s="1"/>
  <c r="AD13" i="32" s="1"/>
  <c r="Q165" i="53"/>
  <c r="AK165" i="52" a="1"/>
  <c r="AK165" i="52" s="1"/>
  <c r="B167" i="53" s="1"/>
  <c r="K166" i="53"/>
  <c r="E166" i="53"/>
  <c r="J166" i="53"/>
  <c r="D166" i="53"/>
  <c r="C166" i="53"/>
  <c r="H166" i="53"/>
  <c r="F166" i="53"/>
  <c r="G166" i="53"/>
  <c r="I166" i="53"/>
  <c r="L166" i="53"/>
  <c r="A96" i="32"/>
  <c r="B96" i="32"/>
  <c r="R96" i="32" s="1"/>
  <c r="A95" i="32"/>
  <c r="Q95" i="32" s="1"/>
  <c r="B95" i="32"/>
  <c r="R95" i="32" s="1"/>
  <c r="K106" i="50"/>
  <c r="A106" i="50"/>
  <c r="M106" i="50"/>
  <c r="G106" i="50"/>
  <c r="F106" i="50"/>
  <c r="U106" i="50" s="1"/>
  <c r="N106" i="50"/>
  <c r="J106" i="50"/>
  <c r="L106" i="50"/>
  <c r="H106" i="50"/>
  <c r="B106" i="50"/>
  <c r="R106" i="50" s="1"/>
  <c r="I106" i="50"/>
  <c r="K96" i="32"/>
  <c r="L96" i="32"/>
  <c r="F96" i="32"/>
  <c r="U96" i="32" s="1"/>
  <c r="N96" i="32"/>
  <c r="H96" i="32"/>
  <c r="M96" i="32"/>
  <c r="J96" i="32"/>
  <c r="I96" i="32"/>
  <c r="G96" i="32"/>
  <c r="M95" i="32"/>
  <c r="F95" i="32"/>
  <c r="U95" i="32" s="1"/>
  <c r="N95" i="32"/>
  <c r="H95" i="32"/>
  <c r="J95" i="32"/>
  <c r="G95" i="32"/>
  <c r="L95" i="32"/>
  <c r="I95" i="32"/>
  <c r="K95" i="32"/>
  <c r="J166" i="57"/>
  <c r="D166" i="57"/>
  <c r="F166" i="57"/>
  <c r="H166" i="57"/>
  <c r="G166" i="57"/>
  <c r="C166" i="57"/>
  <c r="I166" i="57"/>
  <c r="E166" i="57"/>
  <c r="K166" i="57"/>
  <c r="AN165" i="55" a="1"/>
  <c r="AN165" i="55" s="1"/>
  <c r="B167" i="57" s="1"/>
  <c r="AR151" i="67" a="1"/>
  <c r="AR151" i="67" s="1"/>
  <c r="B152" i="69"/>
  <c r="L152" i="69" s="1"/>
  <c r="R149" i="69"/>
  <c r="S149" i="69" s="1"/>
  <c r="Y149" i="69" s="1"/>
  <c r="AE149" i="69"/>
  <c r="C151" i="69"/>
  <c r="P151" i="69" s="1"/>
  <c r="D150" i="69"/>
  <c r="E150" i="69" s="1"/>
  <c r="F150" i="69" s="1"/>
  <c r="G150" i="69" s="1"/>
  <c r="H150" i="69" s="1"/>
  <c r="I150" i="69" s="1"/>
  <c r="J150" i="69" s="1"/>
  <c r="K150" i="69" s="1"/>
  <c r="M150" i="69" s="1"/>
  <c r="AL96" i="11" a="1"/>
  <c r="AL96" i="11" s="1"/>
  <c r="AP106" i="59" a="1"/>
  <c r="AP106" i="59" s="1"/>
  <c r="E107" i="50" s="1"/>
  <c r="G4" i="22"/>
  <c r="L8" i="29"/>
  <c r="L5" i="29"/>
  <c r="L4" i="29"/>
  <c r="L3" i="29"/>
  <c r="AA163" i="57" l="1"/>
  <c r="AB163" i="57"/>
  <c r="AD105" i="50"/>
  <c r="AG105" i="50" s="1"/>
  <c r="X164" i="57"/>
  <c r="AA164" i="57" s="1"/>
  <c r="AG166" i="57"/>
  <c r="AE165" i="57"/>
  <c r="AD165" i="57"/>
  <c r="AQ165" i="57"/>
  <c r="Q165" i="57"/>
  <c r="T165" i="57" s="1"/>
  <c r="R165" i="57"/>
  <c r="AC165" i="57"/>
  <c r="AJ165" i="57"/>
  <c r="M167" i="53"/>
  <c r="AC167" i="53" s="1"/>
  <c r="O167" i="53"/>
  <c r="AP151" i="69"/>
  <c r="N151" i="69"/>
  <c r="U151" i="69" s="1"/>
  <c r="M166" i="57"/>
  <c r="AK166" i="57" s="1"/>
  <c r="Q106" i="50"/>
  <c r="P106" i="50" s="1"/>
  <c r="Q96" i="32"/>
  <c r="P96" i="32" s="1"/>
  <c r="N167" i="53"/>
  <c r="T107" i="50"/>
  <c r="O107" i="50"/>
  <c r="AA165" i="53"/>
  <c r="AB165" i="53"/>
  <c r="AP103" i="50"/>
  <c r="AH45" i="32"/>
  <c r="AI45" i="32" s="1"/>
  <c r="AN45" i="32" s="1"/>
  <c r="AH31" i="32"/>
  <c r="AI31" i="32" s="1"/>
  <c r="AN31" i="32" s="1"/>
  <c r="AH37" i="32"/>
  <c r="AI37" i="32" s="1"/>
  <c r="AN37" i="32" s="1"/>
  <c r="AH47" i="32"/>
  <c r="AI47" i="32" s="1"/>
  <c r="AN47" i="32" s="1"/>
  <c r="AH89" i="32"/>
  <c r="AI89" i="32" s="1"/>
  <c r="AN89" i="32" s="1"/>
  <c r="AH59" i="32"/>
  <c r="AI59" i="32" s="1"/>
  <c r="AN59" i="32" s="1"/>
  <c r="AH48" i="32"/>
  <c r="AI48" i="32" s="1"/>
  <c r="AN48" i="32" s="1"/>
  <c r="AH56" i="32"/>
  <c r="AI56" i="32" s="1"/>
  <c r="AN56" i="32" s="1"/>
  <c r="AH34" i="32"/>
  <c r="AI34" i="32" s="1"/>
  <c r="AN34" i="32" s="1"/>
  <c r="AH40" i="32"/>
  <c r="AI40" i="32" s="1"/>
  <c r="AN40" i="32" s="1"/>
  <c r="AH78" i="32"/>
  <c r="AI78" i="32" s="1"/>
  <c r="AN78" i="32" s="1"/>
  <c r="AH63" i="32"/>
  <c r="AI63" i="32" s="1"/>
  <c r="AN63" i="32" s="1"/>
  <c r="AH61" i="32"/>
  <c r="AI61" i="32" s="1"/>
  <c r="AN61" i="32" s="1"/>
  <c r="AH64" i="32"/>
  <c r="AI64" i="32" s="1"/>
  <c r="AN64" i="32" s="1"/>
  <c r="AH29" i="32"/>
  <c r="AI29" i="32" s="1"/>
  <c r="AN29" i="32" s="1"/>
  <c r="AH69" i="32"/>
  <c r="AI69" i="32" s="1"/>
  <c r="AN69" i="32" s="1"/>
  <c r="AH58" i="32"/>
  <c r="AI58" i="32" s="1"/>
  <c r="AN58" i="32" s="1"/>
  <c r="AH72" i="32"/>
  <c r="AI72" i="32" s="1"/>
  <c r="AN72" i="32" s="1"/>
  <c r="AH76" i="32"/>
  <c r="AI76" i="32" s="1"/>
  <c r="AN76" i="32" s="1"/>
  <c r="AH32" i="32"/>
  <c r="AI32" i="32" s="1"/>
  <c r="AN32" i="32" s="1"/>
  <c r="AH60" i="32"/>
  <c r="AI60" i="32" s="1"/>
  <c r="AN60" i="32" s="1"/>
  <c r="AH87" i="32"/>
  <c r="AI87" i="32" s="1"/>
  <c r="AN87" i="32" s="1"/>
  <c r="AH79" i="32"/>
  <c r="AI79" i="32" s="1"/>
  <c r="AN79" i="32" s="1"/>
  <c r="AH26" i="32"/>
  <c r="AI26" i="32" s="1"/>
  <c r="AN26" i="32" s="1"/>
  <c r="AH35" i="32"/>
  <c r="AI35" i="32" s="1"/>
  <c r="AN35" i="32" s="1"/>
  <c r="AH75" i="32"/>
  <c r="AI75" i="32" s="1"/>
  <c r="AN75" i="32" s="1"/>
  <c r="AH85" i="32"/>
  <c r="AI85" i="32" s="1"/>
  <c r="AN85" i="32" s="1"/>
  <c r="AH51" i="32"/>
  <c r="AI51" i="32" s="1"/>
  <c r="AN51" i="32" s="1"/>
  <c r="AH91" i="32"/>
  <c r="AI91" i="32" s="1"/>
  <c r="AN91" i="32" s="1"/>
  <c r="AH38" i="32"/>
  <c r="AI38" i="32" s="1"/>
  <c r="AN38" i="32" s="1"/>
  <c r="AH88" i="32"/>
  <c r="AI88" i="32" s="1"/>
  <c r="AN88" i="32" s="1"/>
  <c r="AH74" i="32"/>
  <c r="AI74" i="32" s="1"/>
  <c r="AN74" i="32" s="1"/>
  <c r="AH80" i="32"/>
  <c r="AI80" i="32" s="1"/>
  <c r="AN80" i="32" s="1"/>
  <c r="AH67" i="32"/>
  <c r="AI67" i="32" s="1"/>
  <c r="AN67" i="32" s="1"/>
  <c r="AH82" i="32"/>
  <c r="AI82" i="32" s="1"/>
  <c r="AN82" i="32" s="1"/>
  <c r="AH27" i="32"/>
  <c r="AI27" i="32" s="1"/>
  <c r="AN27" i="32" s="1"/>
  <c r="AH52" i="32"/>
  <c r="AI52" i="32" s="1"/>
  <c r="AN52" i="32" s="1"/>
  <c r="AH84" i="32"/>
  <c r="AI84" i="32" s="1"/>
  <c r="AN84" i="32" s="1"/>
  <c r="AH54" i="32"/>
  <c r="AI54" i="32" s="1"/>
  <c r="AN54" i="32" s="1"/>
  <c r="AH70" i="32"/>
  <c r="AI70" i="32" s="1"/>
  <c r="AN70" i="32" s="1"/>
  <c r="AH41" i="32"/>
  <c r="AI41" i="32" s="1"/>
  <c r="AN41" i="32" s="1"/>
  <c r="AH46" i="32"/>
  <c r="AI46" i="32" s="1"/>
  <c r="AN46" i="32" s="1"/>
  <c r="AH55" i="32"/>
  <c r="AI55" i="32" s="1"/>
  <c r="AN55" i="32" s="1"/>
  <c r="AH30" i="32"/>
  <c r="AI30" i="32" s="1"/>
  <c r="AN30" i="32" s="1"/>
  <c r="AH49" i="32"/>
  <c r="AI49" i="32" s="1"/>
  <c r="AN49" i="32" s="1"/>
  <c r="AH53" i="32"/>
  <c r="AI53" i="32" s="1"/>
  <c r="AN53" i="32" s="1"/>
  <c r="AH25" i="32"/>
  <c r="AI25" i="32" s="1"/>
  <c r="AN25" i="32" s="1"/>
  <c r="AM95" i="32"/>
  <c r="AM96" i="32"/>
  <c r="AJ105" i="50"/>
  <c r="C105" i="50"/>
  <c r="S106" i="50"/>
  <c r="Z106" i="50" s="1"/>
  <c r="P95" i="32"/>
  <c r="S96" i="32"/>
  <c r="Z96" i="32" s="1"/>
  <c r="S95" i="32"/>
  <c r="Z95" i="32" s="1"/>
  <c r="W105" i="50"/>
  <c r="X104" i="50"/>
  <c r="V105" i="50"/>
  <c r="AF150" i="69"/>
  <c r="Q150" i="69"/>
  <c r="O167" i="57"/>
  <c r="P167" i="57"/>
  <c r="AC148" i="69"/>
  <c r="AD148" i="69" s="1"/>
  <c r="AH104" i="50"/>
  <c r="AI104" i="50" s="1"/>
  <c r="AG15" i="32"/>
  <c r="AH15" i="32" s="1"/>
  <c r="AG13" i="32"/>
  <c r="AH13" i="32" s="1"/>
  <c r="AB149" i="69"/>
  <c r="AG149" i="69"/>
  <c r="AO151" i="69"/>
  <c r="O152" i="69"/>
  <c r="AK107" i="50"/>
  <c r="AE166" i="53"/>
  <c r="AF165" i="53"/>
  <c r="AM106" i="50"/>
  <c r="AL22" i="32"/>
  <c r="AL24" i="32"/>
  <c r="AI92" i="32"/>
  <c r="AN92" i="32" s="1"/>
  <c r="AL92" i="32"/>
  <c r="AL23" i="32"/>
  <c r="AI93" i="32"/>
  <c r="AN93" i="32" s="1"/>
  <c r="AI66" i="32"/>
  <c r="AN66" i="32" s="1"/>
  <c r="AI50" i="32"/>
  <c r="AN50" i="32" s="1"/>
  <c r="AI33" i="32"/>
  <c r="AN33" i="32" s="1"/>
  <c r="AI68" i="32"/>
  <c r="AN68" i="32" s="1"/>
  <c r="AI90" i="32"/>
  <c r="AN90" i="32" s="1"/>
  <c r="AI71" i="32"/>
  <c r="AN71" i="32" s="1"/>
  <c r="AI42" i="32"/>
  <c r="AN42" i="32" s="1"/>
  <c r="AI73" i="32"/>
  <c r="AN73" i="32" s="1"/>
  <c r="R166" i="53"/>
  <c r="X166" i="53" s="1"/>
  <c r="AL104" i="50"/>
  <c r="AY150" i="69"/>
  <c r="L167" i="57"/>
  <c r="AH166" i="53"/>
  <c r="AT166" i="53"/>
  <c r="AG166" i="53"/>
  <c r="N167" i="57"/>
  <c r="I167" i="53"/>
  <c r="AH150" i="69"/>
  <c r="Q166" i="53"/>
  <c r="AD166" i="53"/>
  <c r="C167" i="53"/>
  <c r="L167" i="53"/>
  <c r="P167" i="53"/>
  <c r="K167" i="53"/>
  <c r="E167" i="53"/>
  <c r="J167" i="53"/>
  <c r="H167" i="53"/>
  <c r="F167" i="53"/>
  <c r="D167" i="53"/>
  <c r="AK166" i="52" a="1"/>
  <c r="AK166" i="52" s="1"/>
  <c r="B168" i="53" s="1"/>
  <c r="G167" i="53"/>
  <c r="H107" i="50"/>
  <c r="A107" i="50"/>
  <c r="B107" i="50"/>
  <c r="R107" i="50" s="1"/>
  <c r="J107" i="50"/>
  <c r="G107" i="50"/>
  <c r="F107" i="50"/>
  <c r="U107" i="50" s="1"/>
  <c r="K107" i="50"/>
  <c r="N107" i="50"/>
  <c r="I107" i="50"/>
  <c r="M107" i="50"/>
  <c r="L107" i="50"/>
  <c r="I167" i="57"/>
  <c r="F167" i="57"/>
  <c r="D167" i="57"/>
  <c r="C167" i="57"/>
  <c r="H167" i="57"/>
  <c r="K167" i="57"/>
  <c r="G167" i="57"/>
  <c r="E167" i="57"/>
  <c r="J167" i="57"/>
  <c r="E97" i="32"/>
  <c r="AN166" i="55" a="1"/>
  <c r="AN166" i="55" s="1"/>
  <c r="B168" i="57" s="1"/>
  <c r="AR152" i="67" a="1"/>
  <c r="AR152" i="67" s="1"/>
  <c r="B153" i="69"/>
  <c r="L153" i="69" s="1"/>
  <c r="C152" i="69"/>
  <c r="P152" i="69" s="1"/>
  <c r="R150" i="69"/>
  <c r="S150" i="69" s="1"/>
  <c r="Y150" i="69" s="1"/>
  <c r="AE150" i="69"/>
  <c r="D151" i="69"/>
  <c r="E151" i="69" s="1"/>
  <c r="F151" i="69" s="1"/>
  <c r="G151" i="69" s="1"/>
  <c r="H151" i="69" s="1"/>
  <c r="I151" i="69" s="1"/>
  <c r="J151" i="69" s="1"/>
  <c r="K151" i="69" s="1"/>
  <c r="M151" i="69" s="1"/>
  <c r="AW79" i="22"/>
  <c r="AK4" i="22"/>
  <c r="AL97" i="11" a="1"/>
  <c r="AL97" i="11" s="1"/>
  <c r="E98" i="32" s="1"/>
  <c r="AP107" i="59" a="1"/>
  <c r="AP107" i="59" s="1"/>
  <c r="E108" i="50" s="1"/>
  <c r="AD96" i="32" l="1"/>
  <c r="AG96" i="32" s="1"/>
  <c r="AH96" i="32" s="1"/>
  <c r="AD95" i="32"/>
  <c r="AG95" i="32" s="1"/>
  <c r="AH95" i="32" s="1"/>
  <c r="AD106" i="50"/>
  <c r="AG106" i="50" s="1"/>
  <c r="X165" i="57"/>
  <c r="AB165" i="57" s="1"/>
  <c r="AF164" i="57"/>
  <c r="AB164" i="57"/>
  <c r="AG167" i="57"/>
  <c r="AQ166" i="57"/>
  <c r="AC166" i="57"/>
  <c r="AE166" i="57"/>
  <c r="AD166" i="57"/>
  <c r="AJ166" i="57"/>
  <c r="Q166" i="57"/>
  <c r="T166" i="57" s="1"/>
  <c r="R166" i="57"/>
  <c r="M168" i="53"/>
  <c r="AC168" i="53" s="1"/>
  <c r="O168" i="53"/>
  <c r="AP152" i="69"/>
  <c r="N152" i="69"/>
  <c r="U152" i="69" s="1"/>
  <c r="M167" i="57"/>
  <c r="AK167" i="57" s="1"/>
  <c r="Q107" i="50"/>
  <c r="P107" i="50" s="1"/>
  <c r="N168" i="53"/>
  <c r="T98" i="32"/>
  <c r="O98" i="32"/>
  <c r="O97" i="32"/>
  <c r="T97" i="32"/>
  <c r="T108" i="50"/>
  <c r="O108" i="50"/>
  <c r="AA166" i="53"/>
  <c r="AB166" i="53"/>
  <c r="AP104" i="50"/>
  <c r="AJ106" i="50"/>
  <c r="C106" i="50"/>
  <c r="S107" i="50"/>
  <c r="Z107" i="50" s="1"/>
  <c r="W95" i="32"/>
  <c r="X95" i="32" s="1"/>
  <c r="C95" i="32"/>
  <c r="AJ95" i="32"/>
  <c r="C96" i="32"/>
  <c r="AJ96" i="32"/>
  <c r="W96" i="32"/>
  <c r="X96" i="32" s="1"/>
  <c r="W106" i="50"/>
  <c r="X105" i="50"/>
  <c r="V106" i="50"/>
  <c r="V96" i="32"/>
  <c r="AF151" i="69"/>
  <c r="Q151" i="69"/>
  <c r="O168" i="57"/>
  <c r="P168" i="57"/>
  <c r="AC149" i="69"/>
  <c r="AD149" i="69" s="1"/>
  <c r="AH105" i="50"/>
  <c r="AI105" i="50" s="1"/>
  <c r="AK21" i="32"/>
  <c r="AL21" i="32" s="1"/>
  <c r="AK20" i="32"/>
  <c r="AL20" i="32" s="1"/>
  <c r="AK19" i="32"/>
  <c r="AL19" i="32" s="1"/>
  <c r="AK18" i="32"/>
  <c r="AL18" i="32" s="1"/>
  <c r="AK17" i="32"/>
  <c r="AL17" i="32" s="1"/>
  <c r="AK16" i="32"/>
  <c r="AL16" i="32" s="1"/>
  <c r="AK14" i="32"/>
  <c r="AL14" i="32" s="1"/>
  <c r="AB150" i="69"/>
  <c r="AG150" i="69"/>
  <c r="AO152" i="69"/>
  <c r="O153" i="69"/>
  <c r="AK108" i="50"/>
  <c r="AE167" i="53"/>
  <c r="AF166" i="53"/>
  <c r="AK98" i="32"/>
  <c r="AK97" i="32"/>
  <c r="AM107" i="50"/>
  <c r="AL94" i="32"/>
  <c r="AI23" i="32"/>
  <c r="AN23" i="32" s="1"/>
  <c r="AI22" i="32"/>
  <c r="AN22" i="32" s="1"/>
  <c r="R167" i="53"/>
  <c r="X167" i="53" s="1"/>
  <c r="AL105" i="50"/>
  <c r="AI24" i="32"/>
  <c r="AN24" i="32" s="1"/>
  <c r="AY151" i="69"/>
  <c r="L168" i="57"/>
  <c r="AG167" i="53"/>
  <c r="AH167" i="53"/>
  <c r="AT167" i="53"/>
  <c r="N168" i="57"/>
  <c r="E168" i="53"/>
  <c r="AH151" i="69"/>
  <c r="V95" i="32"/>
  <c r="AD167" i="53"/>
  <c r="AK167" i="52" a="1"/>
  <c r="AK167" i="52" s="1"/>
  <c r="B169" i="53" s="1"/>
  <c r="J168" i="53"/>
  <c r="Q167" i="53"/>
  <c r="F168" i="53"/>
  <c r="L168" i="53"/>
  <c r="I168" i="53"/>
  <c r="D168" i="53"/>
  <c r="H168" i="53"/>
  <c r="C168" i="53"/>
  <c r="G168" i="53"/>
  <c r="P168" i="53"/>
  <c r="K168" i="53"/>
  <c r="A97" i="32"/>
  <c r="Q97" i="32" s="1"/>
  <c r="B97" i="32"/>
  <c r="R97" i="32" s="1"/>
  <c r="A98" i="32"/>
  <c r="B98" i="32"/>
  <c r="R98" i="32" s="1"/>
  <c r="K108" i="50"/>
  <c r="M108" i="50"/>
  <c r="I108" i="50"/>
  <c r="G108" i="50"/>
  <c r="B108" i="50"/>
  <c r="R108" i="50" s="1"/>
  <c r="L108" i="50"/>
  <c r="F108" i="50"/>
  <c r="U108" i="50" s="1"/>
  <c r="H108" i="50"/>
  <c r="J108" i="50"/>
  <c r="A108" i="50"/>
  <c r="N108" i="50"/>
  <c r="I97" i="32"/>
  <c r="J97" i="32"/>
  <c r="L97" i="32"/>
  <c r="F97" i="32"/>
  <c r="U97" i="32" s="1"/>
  <c r="N97" i="32"/>
  <c r="H97" i="32"/>
  <c r="K97" i="32"/>
  <c r="G97" i="32"/>
  <c r="M97" i="32"/>
  <c r="G98" i="32"/>
  <c r="H98" i="32"/>
  <c r="J98" i="32"/>
  <c r="L98" i="32"/>
  <c r="I98" i="32"/>
  <c r="N98" i="32"/>
  <c r="F98" i="32"/>
  <c r="U98" i="32" s="1"/>
  <c r="K98" i="32"/>
  <c r="M98" i="32"/>
  <c r="H168" i="57"/>
  <c r="F168" i="57"/>
  <c r="D168" i="57"/>
  <c r="C168" i="57"/>
  <c r="K168" i="57"/>
  <c r="J168" i="57"/>
  <c r="E168" i="57"/>
  <c r="G168" i="57"/>
  <c r="I168" i="57"/>
  <c r="AN167" i="55" a="1"/>
  <c r="AN167" i="55" s="1"/>
  <c r="B169" i="57" s="1"/>
  <c r="C153" i="69"/>
  <c r="P153" i="69" s="1"/>
  <c r="AE151" i="69"/>
  <c r="R151" i="69"/>
  <c r="S151" i="69" s="1"/>
  <c r="Y151" i="69" s="1"/>
  <c r="D152" i="69"/>
  <c r="E152" i="69" s="1"/>
  <c r="F152" i="69" s="1"/>
  <c r="G152" i="69" s="1"/>
  <c r="H152" i="69" s="1"/>
  <c r="I152" i="69" s="1"/>
  <c r="J152" i="69" s="1"/>
  <c r="K152" i="69" s="1"/>
  <c r="M152" i="69" s="1"/>
  <c r="AR153" i="67" a="1"/>
  <c r="AR153" i="67" s="1"/>
  <c r="B154" i="69"/>
  <c r="L154" i="69" s="1"/>
  <c r="AL98" i="11" a="1"/>
  <c r="AL98" i="11" s="1"/>
  <c r="E99" i="32" s="1"/>
  <c r="AP108" i="59" a="1"/>
  <c r="AP108" i="59" s="1"/>
  <c r="E109" i="50" s="1"/>
  <c r="AD107" i="50" l="1"/>
  <c r="AG107" i="50" s="1"/>
  <c r="X166" i="57"/>
  <c r="AB166" i="57" s="1"/>
  <c r="AG168" i="57"/>
  <c r="AF165" i="57"/>
  <c r="AA165" i="57"/>
  <c r="AJ167" i="57"/>
  <c r="M169" i="53"/>
  <c r="AC169" i="53" s="1"/>
  <c r="O169" i="53"/>
  <c r="AP153" i="69"/>
  <c r="N153" i="69"/>
  <c r="U153" i="69" s="1"/>
  <c r="AC167" i="57"/>
  <c r="R167" i="57"/>
  <c r="AE167" i="57"/>
  <c r="Q167" i="57"/>
  <c r="T167" i="57" s="1"/>
  <c r="AD167" i="57"/>
  <c r="AQ167" i="57"/>
  <c r="M168" i="57"/>
  <c r="AK168" i="57" s="1"/>
  <c r="Q108" i="50"/>
  <c r="P108" i="50" s="1"/>
  <c r="Q98" i="32"/>
  <c r="P98" i="32" s="1"/>
  <c r="N169" i="53"/>
  <c r="T99" i="32"/>
  <c r="O99" i="32"/>
  <c r="T109" i="50"/>
  <c r="O109" i="50"/>
  <c r="AA167" i="53"/>
  <c r="AB167" i="53"/>
  <c r="AP105" i="50"/>
  <c r="AM97" i="32"/>
  <c r="AM98" i="32"/>
  <c r="AJ107" i="50"/>
  <c r="C107" i="50"/>
  <c r="S108" i="50"/>
  <c r="Z108" i="50" s="1"/>
  <c r="P97" i="32"/>
  <c r="AI21" i="32"/>
  <c r="AM21" i="32"/>
  <c r="AI20" i="32"/>
  <c r="AM20" i="32"/>
  <c r="AI19" i="32"/>
  <c r="AM19" i="32"/>
  <c r="AI18" i="32"/>
  <c r="AM18" i="32"/>
  <c r="AI17" i="32"/>
  <c r="AM17" i="32"/>
  <c r="AI16" i="32"/>
  <c r="AM16" i="32"/>
  <c r="AM14" i="32"/>
  <c r="S97" i="32"/>
  <c r="Z97" i="32" s="1"/>
  <c r="S98" i="32"/>
  <c r="Z98" i="32" s="1"/>
  <c r="W107" i="50"/>
  <c r="X106" i="50"/>
  <c r="V107" i="50"/>
  <c r="AF152" i="69"/>
  <c r="Q152" i="69"/>
  <c r="O169" i="57"/>
  <c r="P169" i="57"/>
  <c r="AC150" i="69"/>
  <c r="AD150" i="69" s="1"/>
  <c r="AH106" i="50"/>
  <c r="AI106" i="50" s="1"/>
  <c r="AK13" i="32"/>
  <c r="AL13" i="32" s="1"/>
  <c r="AB151" i="69"/>
  <c r="AG151" i="69"/>
  <c r="AO153" i="69"/>
  <c r="O154" i="69"/>
  <c r="AK109" i="50"/>
  <c r="AE168" i="53"/>
  <c r="AF167" i="53"/>
  <c r="AK99" i="32"/>
  <c r="AM108" i="50"/>
  <c r="AL96" i="32"/>
  <c r="AI94" i="32"/>
  <c r="AN94" i="32" s="1"/>
  <c r="R168" i="53"/>
  <c r="X168" i="53" s="1"/>
  <c r="AL106" i="50"/>
  <c r="AI14" i="32"/>
  <c r="AY152" i="69"/>
  <c r="L169" i="57"/>
  <c r="AH168" i="53"/>
  <c r="AT168" i="53"/>
  <c r="AG168" i="53"/>
  <c r="N169" i="57"/>
  <c r="K169" i="53"/>
  <c r="AH152" i="69"/>
  <c r="Q168" i="53"/>
  <c r="AD168" i="53"/>
  <c r="AK168" i="52" a="1"/>
  <c r="AK168" i="52" s="1"/>
  <c r="B170" i="53" s="1"/>
  <c r="I169" i="53"/>
  <c r="P169" i="53"/>
  <c r="D169" i="53"/>
  <c r="G169" i="53"/>
  <c r="J169" i="53"/>
  <c r="H169" i="53"/>
  <c r="F169" i="53"/>
  <c r="L169" i="53"/>
  <c r="E169" i="53"/>
  <c r="C169" i="53"/>
  <c r="A99" i="32"/>
  <c r="B99" i="32"/>
  <c r="R99" i="32" s="1"/>
  <c r="N109" i="50"/>
  <c r="M109" i="50"/>
  <c r="F109" i="50"/>
  <c r="U109" i="50" s="1"/>
  <c r="G109" i="50"/>
  <c r="H109" i="50"/>
  <c r="L109" i="50"/>
  <c r="B109" i="50"/>
  <c r="R109" i="50" s="1"/>
  <c r="J109" i="50"/>
  <c r="I109" i="50"/>
  <c r="A109" i="50"/>
  <c r="K109" i="50"/>
  <c r="M99" i="32"/>
  <c r="F99" i="32"/>
  <c r="U99" i="32" s="1"/>
  <c r="N99" i="32"/>
  <c r="H99" i="32"/>
  <c r="J99" i="32"/>
  <c r="G99" i="32"/>
  <c r="L99" i="32"/>
  <c r="K99" i="32"/>
  <c r="I99" i="32"/>
  <c r="J169" i="57"/>
  <c r="E169" i="57"/>
  <c r="C169" i="57"/>
  <c r="F169" i="57"/>
  <c r="H169" i="57"/>
  <c r="I169" i="57"/>
  <c r="D169" i="57"/>
  <c r="K169" i="57"/>
  <c r="G169" i="57"/>
  <c r="AN168" i="55" a="1"/>
  <c r="AN168" i="55" s="1"/>
  <c r="B170" i="57" s="1"/>
  <c r="AR154" i="67" a="1"/>
  <c r="AR154" i="67" s="1"/>
  <c r="B155" i="69"/>
  <c r="L155" i="69" s="1"/>
  <c r="AE152" i="69"/>
  <c r="R152" i="69"/>
  <c r="S152" i="69" s="1"/>
  <c r="Y152" i="69" s="1"/>
  <c r="C154" i="69"/>
  <c r="P154" i="69" s="1"/>
  <c r="D153" i="69"/>
  <c r="E153" i="69" s="1"/>
  <c r="F153" i="69" s="1"/>
  <c r="G153" i="69" s="1"/>
  <c r="H153" i="69" s="1"/>
  <c r="I153" i="69" s="1"/>
  <c r="J153" i="69" s="1"/>
  <c r="K153" i="69" s="1"/>
  <c r="M153" i="69" s="1"/>
  <c r="AL99" i="11" a="1"/>
  <c r="AL99" i="11" s="1"/>
  <c r="E100" i="32" s="1"/>
  <c r="AP109" i="59" a="1"/>
  <c r="AP109" i="59" s="1"/>
  <c r="E110" i="50" s="1"/>
  <c r="AD97" i="32" l="1"/>
  <c r="AG97" i="32" s="1"/>
  <c r="AH97" i="32" s="1"/>
  <c r="AD98" i="32"/>
  <c r="AG98" i="32" s="1"/>
  <c r="AH98" i="32" s="1"/>
  <c r="AD108" i="50"/>
  <c r="AG108" i="50" s="1"/>
  <c r="X167" i="57"/>
  <c r="AB167" i="57" s="1"/>
  <c r="AG169" i="57"/>
  <c r="AF166" i="57"/>
  <c r="AA166" i="57"/>
  <c r="AD168" i="57"/>
  <c r="AC168" i="57"/>
  <c r="AJ168" i="57"/>
  <c r="AE168" i="57"/>
  <c r="M170" i="53"/>
  <c r="AC170" i="53" s="1"/>
  <c r="O170" i="53"/>
  <c r="AP154" i="69"/>
  <c r="N154" i="69"/>
  <c r="U154" i="69" s="1"/>
  <c r="R168" i="57"/>
  <c r="Q168" i="57"/>
  <c r="T168" i="57" s="1"/>
  <c r="AQ168" i="57"/>
  <c r="M169" i="57"/>
  <c r="AK169" i="57" s="1"/>
  <c r="Q109" i="50"/>
  <c r="P109" i="50" s="1"/>
  <c r="Q99" i="32"/>
  <c r="P99" i="32" s="1"/>
  <c r="N170" i="53"/>
  <c r="O100" i="32"/>
  <c r="T100" i="32"/>
  <c r="T110" i="50"/>
  <c r="O110" i="50"/>
  <c r="AA168" i="53"/>
  <c r="AB168" i="53"/>
  <c r="AP106" i="50"/>
  <c r="AN17" i="32"/>
  <c r="AN19" i="32"/>
  <c r="AN21" i="32"/>
  <c r="AN14" i="32"/>
  <c r="AN16" i="32"/>
  <c r="AN18" i="32"/>
  <c r="AN20" i="32"/>
  <c r="AM99" i="32"/>
  <c r="AJ108" i="50"/>
  <c r="C108" i="50"/>
  <c r="S109" i="50"/>
  <c r="Z109" i="50" s="1"/>
  <c r="W98" i="32"/>
  <c r="X98" i="32" s="1"/>
  <c r="C98" i="32"/>
  <c r="AJ98" i="32"/>
  <c r="W97" i="32"/>
  <c r="X97" i="32" s="1"/>
  <c r="C97" i="32"/>
  <c r="AJ97" i="32"/>
  <c r="S99" i="32"/>
  <c r="Z99" i="32" s="1"/>
  <c r="W108" i="50"/>
  <c r="X107" i="50"/>
  <c r="V108" i="50"/>
  <c r="V98" i="32"/>
  <c r="AF153" i="69"/>
  <c r="Q153" i="69"/>
  <c r="O170" i="57"/>
  <c r="P170" i="57"/>
  <c r="AM13" i="32"/>
  <c r="AC151" i="69"/>
  <c r="AD151" i="69" s="1"/>
  <c r="AH107" i="50"/>
  <c r="AI107" i="50" s="1"/>
  <c r="AK15" i="32"/>
  <c r="AL15" i="32" s="1"/>
  <c r="AB152" i="69"/>
  <c r="AG152" i="69"/>
  <c r="AO154" i="69"/>
  <c r="O155" i="69"/>
  <c r="AK110" i="50"/>
  <c r="AE169" i="53"/>
  <c r="AF168" i="53"/>
  <c r="AK100" i="32"/>
  <c r="AM109" i="50"/>
  <c r="AL95" i="32"/>
  <c r="AI96" i="32"/>
  <c r="AN96" i="32" s="1"/>
  <c r="AI13" i="32"/>
  <c r="R169" i="53"/>
  <c r="X169" i="53" s="1"/>
  <c r="AL107" i="50"/>
  <c r="AY153" i="69"/>
  <c r="L170" i="57"/>
  <c r="AG169" i="53"/>
  <c r="AH169" i="53"/>
  <c r="AT169" i="53"/>
  <c r="N170" i="57"/>
  <c r="AH153" i="69"/>
  <c r="V97" i="32"/>
  <c r="AD169" i="53"/>
  <c r="Q169" i="53"/>
  <c r="AK169" i="52" a="1"/>
  <c r="AK169" i="52" s="1"/>
  <c r="B171" i="53" s="1"/>
  <c r="G170" i="53"/>
  <c r="P170" i="53"/>
  <c r="K170" i="53"/>
  <c r="J170" i="53"/>
  <c r="H170" i="53"/>
  <c r="D170" i="53"/>
  <c r="L170" i="53"/>
  <c r="E170" i="53"/>
  <c r="F170" i="53"/>
  <c r="C170" i="53"/>
  <c r="I170" i="53"/>
  <c r="A100" i="32"/>
  <c r="B100" i="32"/>
  <c r="R100" i="32" s="1"/>
  <c r="A110" i="50"/>
  <c r="N110" i="50"/>
  <c r="J110" i="50"/>
  <c r="K110" i="50"/>
  <c r="F110" i="50"/>
  <c r="U110" i="50" s="1"/>
  <c r="I110" i="50"/>
  <c r="H110" i="50"/>
  <c r="G110" i="50"/>
  <c r="M110" i="50"/>
  <c r="L110" i="50"/>
  <c r="B110" i="50"/>
  <c r="R110" i="50" s="1"/>
  <c r="K100" i="32"/>
  <c r="L100" i="32"/>
  <c r="F100" i="32"/>
  <c r="U100" i="32" s="1"/>
  <c r="N100" i="32"/>
  <c r="H100" i="32"/>
  <c r="J100" i="32"/>
  <c r="M100" i="32"/>
  <c r="G100" i="32"/>
  <c r="I100" i="32"/>
  <c r="J170" i="57"/>
  <c r="G170" i="57"/>
  <c r="D170" i="57"/>
  <c r="H170" i="57"/>
  <c r="C170" i="57"/>
  <c r="I170" i="57"/>
  <c r="F170" i="57"/>
  <c r="E170" i="57"/>
  <c r="K170" i="57"/>
  <c r="AN169" i="55" a="1"/>
  <c r="AN169" i="55" s="1"/>
  <c r="B171" i="57" s="1"/>
  <c r="C155" i="69"/>
  <c r="P155" i="69" s="1"/>
  <c r="D154" i="69"/>
  <c r="E154" i="69" s="1"/>
  <c r="F154" i="69" s="1"/>
  <c r="G154" i="69" s="1"/>
  <c r="H154" i="69" s="1"/>
  <c r="I154" i="69" s="1"/>
  <c r="J154" i="69" s="1"/>
  <c r="K154" i="69" s="1"/>
  <c r="M154" i="69" s="1"/>
  <c r="AE153" i="69"/>
  <c r="R153" i="69"/>
  <c r="S153" i="69" s="1"/>
  <c r="Y153" i="69" s="1"/>
  <c r="AR155" i="67" a="1"/>
  <c r="AR155" i="67" s="1"/>
  <c r="B156" i="69"/>
  <c r="L156" i="69" s="1"/>
  <c r="AL100" i="11" a="1"/>
  <c r="AL100" i="11" s="1"/>
  <c r="E101" i="32" s="1"/>
  <c r="AP110" i="59" a="1"/>
  <c r="AP110" i="59" s="1"/>
  <c r="E111" i="50" s="1"/>
  <c r="AD99" i="32" l="1"/>
  <c r="AG99" i="32" s="1"/>
  <c r="AH99" i="32" s="1"/>
  <c r="AD109" i="50"/>
  <c r="AG109" i="50" s="1"/>
  <c r="AJ169" i="57"/>
  <c r="X168" i="57"/>
  <c r="AB168" i="57" s="1"/>
  <c r="AE169" i="57"/>
  <c r="AG170" i="57"/>
  <c r="AD169" i="57"/>
  <c r="M171" i="53"/>
  <c r="AC171" i="53" s="1"/>
  <c r="O171" i="53"/>
  <c r="AP155" i="69"/>
  <c r="N155" i="69"/>
  <c r="U155" i="69" s="1"/>
  <c r="AA167" i="57"/>
  <c r="AF167" i="57"/>
  <c r="AQ169" i="57"/>
  <c r="Q169" i="57"/>
  <c r="T169" i="57" s="1"/>
  <c r="R169" i="57"/>
  <c r="AC169" i="57"/>
  <c r="M170" i="57"/>
  <c r="AK170" i="57" s="1"/>
  <c r="Q110" i="50"/>
  <c r="P110" i="50" s="1"/>
  <c r="Q100" i="32"/>
  <c r="P100" i="32" s="1"/>
  <c r="N171" i="53"/>
  <c r="O101" i="32"/>
  <c r="T101" i="32"/>
  <c r="T111" i="50"/>
  <c r="O111" i="50"/>
  <c r="AA169" i="53"/>
  <c r="AB169" i="53"/>
  <c r="AP107" i="50"/>
  <c r="AN13" i="32"/>
  <c r="AM100" i="32"/>
  <c r="AJ109" i="50"/>
  <c r="C109" i="50"/>
  <c r="S110" i="50"/>
  <c r="Z110" i="50" s="1"/>
  <c r="AM15" i="32"/>
  <c r="W99" i="32"/>
  <c r="X99" i="32" s="1"/>
  <c r="C99" i="32"/>
  <c r="AJ99" i="32"/>
  <c r="S100" i="32"/>
  <c r="Z100" i="32" s="1"/>
  <c r="W109" i="50"/>
  <c r="X108" i="50"/>
  <c r="V109" i="50"/>
  <c r="V99" i="32"/>
  <c r="AF154" i="69"/>
  <c r="Q154" i="69"/>
  <c r="O171" i="57"/>
  <c r="P171" i="57"/>
  <c r="AC152" i="69"/>
  <c r="AD152" i="69" s="1"/>
  <c r="AH108" i="50"/>
  <c r="AI108" i="50" s="1"/>
  <c r="AI15" i="32"/>
  <c r="AB153" i="69"/>
  <c r="AG153" i="69"/>
  <c r="O156" i="69"/>
  <c r="AO155" i="69"/>
  <c r="AK111" i="50"/>
  <c r="AE170" i="53"/>
  <c r="AF169" i="53"/>
  <c r="AK101" i="32"/>
  <c r="AM110" i="50"/>
  <c r="AI95" i="32"/>
  <c r="AN95" i="32" s="1"/>
  <c r="R170" i="53"/>
  <c r="X170" i="53" s="1"/>
  <c r="AL108" i="50"/>
  <c r="AY154" i="69"/>
  <c r="L171" i="57"/>
  <c r="AG170" i="53"/>
  <c r="AH170" i="53"/>
  <c r="AT170" i="53"/>
  <c r="N171" i="57"/>
  <c r="AH154" i="69"/>
  <c r="AD170" i="53"/>
  <c r="AK170" i="52" a="1"/>
  <c r="AK170" i="52" s="1"/>
  <c r="B172" i="53" s="1"/>
  <c r="Q170" i="53"/>
  <c r="I171" i="53"/>
  <c r="G171" i="53"/>
  <c r="C171" i="53"/>
  <c r="K171" i="53"/>
  <c r="E171" i="53"/>
  <c r="J171" i="53"/>
  <c r="F171" i="53"/>
  <c r="H171" i="53"/>
  <c r="D171" i="53"/>
  <c r="L171" i="53"/>
  <c r="P171" i="53"/>
  <c r="A101" i="32"/>
  <c r="B101" i="32"/>
  <c r="R101" i="32" s="1"/>
  <c r="A111" i="50"/>
  <c r="M111" i="50"/>
  <c r="J111" i="50"/>
  <c r="L111" i="50"/>
  <c r="N111" i="50"/>
  <c r="F111" i="50"/>
  <c r="U111" i="50" s="1"/>
  <c r="G111" i="50"/>
  <c r="B111" i="50"/>
  <c r="R111" i="50" s="1"/>
  <c r="K111" i="50"/>
  <c r="I111" i="50"/>
  <c r="H111" i="50"/>
  <c r="I101" i="32"/>
  <c r="J101" i="32"/>
  <c r="L101" i="32"/>
  <c r="F101" i="32"/>
  <c r="U101" i="32" s="1"/>
  <c r="N101" i="32"/>
  <c r="K101" i="32"/>
  <c r="H101" i="32"/>
  <c r="M101" i="32"/>
  <c r="G101" i="32"/>
  <c r="H171" i="57"/>
  <c r="D171" i="57"/>
  <c r="J171" i="57"/>
  <c r="K171" i="57"/>
  <c r="G171" i="57"/>
  <c r="C171" i="57"/>
  <c r="I171" i="57"/>
  <c r="F171" i="57"/>
  <c r="E171" i="57"/>
  <c r="AN170" i="55" a="1"/>
  <c r="AN170" i="55" s="1"/>
  <c r="B172" i="57" s="1"/>
  <c r="AR156" i="67" a="1"/>
  <c r="AR156" i="67" s="1"/>
  <c r="B157" i="69"/>
  <c r="L157" i="69" s="1"/>
  <c r="D155" i="69"/>
  <c r="E155" i="69" s="1"/>
  <c r="F155" i="69" s="1"/>
  <c r="G155" i="69" s="1"/>
  <c r="H155" i="69" s="1"/>
  <c r="I155" i="69" s="1"/>
  <c r="J155" i="69" s="1"/>
  <c r="K155" i="69" s="1"/>
  <c r="M155" i="69" s="1"/>
  <c r="C156" i="69"/>
  <c r="P156" i="69" s="1"/>
  <c r="R154" i="69"/>
  <c r="S154" i="69" s="1"/>
  <c r="Y154" i="69" s="1"/>
  <c r="AE154" i="69"/>
  <c r="AL101" i="11" a="1"/>
  <c r="AL101" i="11" s="1"/>
  <c r="E102" i="32" s="1"/>
  <c r="AP111" i="59" a="1"/>
  <c r="AP111" i="59" s="1"/>
  <c r="E112" i="50" s="1"/>
  <c r="AD100" i="32" l="1"/>
  <c r="AG100" i="32" s="1"/>
  <c r="AH100" i="32" s="1"/>
  <c r="AD110" i="50"/>
  <c r="AG110" i="50" s="1"/>
  <c r="X169" i="57"/>
  <c r="AB169" i="57" s="1"/>
  <c r="AG171" i="57"/>
  <c r="AA168" i="57"/>
  <c r="AF168" i="57"/>
  <c r="AJ170" i="57"/>
  <c r="R170" i="57"/>
  <c r="M172" i="53"/>
  <c r="AC172" i="53" s="1"/>
  <c r="O172" i="53"/>
  <c r="AP156" i="69"/>
  <c r="N156" i="69"/>
  <c r="U156" i="69" s="1"/>
  <c r="AD170" i="57"/>
  <c r="AC170" i="57"/>
  <c r="Q170" i="57"/>
  <c r="T170" i="57" s="1"/>
  <c r="AQ170" i="57"/>
  <c r="AE170" i="57"/>
  <c r="M171" i="57"/>
  <c r="AK171" i="57" s="1"/>
  <c r="Q111" i="50"/>
  <c r="P111" i="50" s="1"/>
  <c r="Q101" i="32"/>
  <c r="P101" i="32" s="1"/>
  <c r="N172" i="53"/>
  <c r="T102" i="32"/>
  <c r="O102" i="32"/>
  <c r="T112" i="50"/>
  <c r="O112" i="50"/>
  <c r="AA170" i="53"/>
  <c r="AB170" i="53"/>
  <c r="AP108" i="50"/>
  <c r="AN15" i="32"/>
  <c r="AM101" i="32"/>
  <c r="AJ110" i="50"/>
  <c r="C110" i="50"/>
  <c r="S111" i="50"/>
  <c r="Z111" i="50" s="1"/>
  <c r="C100" i="32"/>
  <c r="AJ100" i="32"/>
  <c r="W100" i="32"/>
  <c r="X100" i="32" s="1"/>
  <c r="S101" i="32"/>
  <c r="AD101" i="32" s="1"/>
  <c r="W110" i="50"/>
  <c r="X109" i="50"/>
  <c r="V110" i="50"/>
  <c r="V100" i="32"/>
  <c r="AF155" i="69"/>
  <c r="Q155" i="69"/>
  <c r="O172" i="57"/>
  <c r="P172" i="57"/>
  <c r="AC153" i="69"/>
  <c r="AD153" i="69" s="1"/>
  <c r="AH109" i="50"/>
  <c r="AI109" i="50" s="1"/>
  <c r="AB154" i="69"/>
  <c r="AG154" i="69"/>
  <c r="O157" i="69"/>
  <c r="AO156" i="69"/>
  <c r="AK112" i="50"/>
  <c r="AF170" i="53"/>
  <c r="AE171" i="53"/>
  <c r="AK102" i="32"/>
  <c r="AM111" i="50"/>
  <c r="AL98" i="32"/>
  <c r="AL97" i="32"/>
  <c r="R171" i="53"/>
  <c r="X171" i="53" s="1"/>
  <c r="AL109" i="50"/>
  <c r="AY155" i="69"/>
  <c r="L172" i="57"/>
  <c r="AG171" i="53"/>
  <c r="AH171" i="53"/>
  <c r="AT171" i="53"/>
  <c r="N172" i="57"/>
  <c r="AH155" i="69"/>
  <c r="AD171" i="53"/>
  <c r="Q171" i="53"/>
  <c r="AK171" i="52" a="1"/>
  <c r="AK171" i="52" s="1"/>
  <c r="B173" i="53" s="1"/>
  <c r="H172" i="53"/>
  <c r="L172" i="53"/>
  <c r="F172" i="53"/>
  <c r="G172" i="53"/>
  <c r="C172" i="53"/>
  <c r="E172" i="53"/>
  <c r="J172" i="53"/>
  <c r="I172" i="53"/>
  <c r="K172" i="53"/>
  <c r="D172" i="53"/>
  <c r="P172" i="53"/>
  <c r="A102" i="32"/>
  <c r="B102" i="32"/>
  <c r="R102" i="32" s="1"/>
  <c r="G112" i="50"/>
  <c r="I112" i="50"/>
  <c r="M112" i="50"/>
  <c r="L112" i="50"/>
  <c r="J112" i="50"/>
  <c r="H112" i="50"/>
  <c r="A112" i="50"/>
  <c r="B112" i="50"/>
  <c r="R112" i="50" s="1"/>
  <c r="N112" i="50"/>
  <c r="F112" i="50"/>
  <c r="U112" i="50" s="1"/>
  <c r="K112" i="50"/>
  <c r="G102" i="32"/>
  <c r="H102" i="32"/>
  <c r="J102" i="32"/>
  <c r="L102" i="32"/>
  <c r="F102" i="32"/>
  <c r="U102" i="32" s="1"/>
  <c r="I102" i="32"/>
  <c r="N102" i="32"/>
  <c r="M102" i="32"/>
  <c r="K102" i="32"/>
  <c r="F172" i="57"/>
  <c r="K172" i="57"/>
  <c r="J172" i="57"/>
  <c r="E172" i="57"/>
  <c r="G172" i="57"/>
  <c r="C172" i="57"/>
  <c r="I172" i="57"/>
  <c r="D172" i="57"/>
  <c r="H172" i="57"/>
  <c r="AN171" i="55" a="1"/>
  <c r="AN171" i="55" s="1"/>
  <c r="B173" i="57" s="1"/>
  <c r="AR157" i="67" a="1"/>
  <c r="AR157" i="67" s="1"/>
  <c r="B158" i="69"/>
  <c r="L158" i="69" s="1"/>
  <c r="AE155" i="69"/>
  <c r="R155" i="69"/>
  <c r="S155" i="69" s="1"/>
  <c r="Y155" i="69" s="1"/>
  <c r="D156" i="69"/>
  <c r="E156" i="69" s="1"/>
  <c r="F156" i="69" s="1"/>
  <c r="G156" i="69" s="1"/>
  <c r="H156" i="69" s="1"/>
  <c r="I156" i="69" s="1"/>
  <c r="J156" i="69" s="1"/>
  <c r="K156" i="69" s="1"/>
  <c r="M156" i="69" s="1"/>
  <c r="C157" i="69"/>
  <c r="P157" i="69" s="1"/>
  <c r="AL102" i="11" a="1"/>
  <c r="AL102" i="11" s="1"/>
  <c r="AP112" i="59" a="1"/>
  <c r="AP112" i="59" s="1"/>
  <c r="E113" i="50" s="1"/>
  <c r="X170" i="57" l="1"/>
  <c r="AB170" i="57" s="1"/>
  <c r="AD111" i="50"/>
  <c r="AG111" i="50" s="1"/>
  <c r="AG172" i="57"/>
  <c r="AJ171" i="57"/>
  <c r="AA169" i="57"/>
  <c r="M173" i="53"/>
  <c r="AC173" i="53" s="1"/>
  <c r="O173" i="53"/>
  <c r="AP157" i="69"/>
  <c r="N157" i="69"/>
  <c r="U157" i="69" s="1"/>
  <c r="AE171" i="57"/>
  <c r="AF169" i="57"/>
  <c r="R171" i="57"/>
  <c r="AD171" i="57"/>
  <c r="Q171" i="57"/>
  <c r="T171" i="57" s="1"/>
  <c r="AQ171" i="57"/>
  <c r="AC171" i="57"/>
  <c r="M172" i="57"/>
  <c r="AK172" i="57" s="1"/>
  <c r="Q112" i="50"/>
  <c r="P112" i="50" s="1"/>
  <c r="Q102" i="32"/>
  <c r="P102" i="32" s="1"/>
  <c r="N173" i="53"/>
  <c r="O113" i="50"/>
  <c r="T113" i="50"/>
  <c r="AA171" i="53"/>
  <c r="AB171" i="53"/>
  <c r="AP109" i="50"/>
  <c r="C101" i="32"/>
  <c r="Z101" i="32"/>
  <c r="AM102" i="32"/>
  <c r="C111" i="50"/>
  <c r="AJ111" i="50"/>
  <c r="S112" i="50"/>
  <c r="Z112" i="50" s="1"/>
  <c r="S102" i="32"/>
  <c r="Z102" i="32" s="1"/>
  <c r="W101" i="32"/>
  <c r="X101" i="32" s="1"/>
  <c r="AJ101" i="32"/>
  <c r="W111" i="50"/>
  <c r="X110" i="50"/>
  <c r="V111" i="50"/>
  <c r="V101" i="32"/>
  <c r="AF156" i="69"/>
  <c r="Q156" i="69"/>
  <c r="O173" i="57"/>
  <c r="P173" i="57"/>
  <c r="AC154" i="69"/>
  <c r="AD154" i="69" s="1"/>
  <c r="AH110" i="50"/>
  <c r="AI110" i="50" s="1"/>
  <c r="AB155" i="69"/>
  <c r="AG155" i="69"/>
  <c r="O158" i="69"/>
  <c r="AO157" i="69"/>
  <c r="AK113" i="50"/>
  <c r="AE172" i="53"/>
  <c r="AF171" i="53"/>
  <c r="AG101" i="32"/>
  <c r="AH101" i="32" s="1"/>
  <c r="AM112" i="50"/>
  <c r="AL99" i="32"/>
  <c r="AI98" i="32"/>
  <c r="AN98" i="32" s="1"/>
  <c r="R172" i="53"/>
  <c r="X172" i="53" s="1"/>
  <c r="AL110" i="50"/>
  <c r="AI97" i="32"/>
  <c r="AN97" i="32" s="1"/>
  <c r="AY156" i="69"/>
  <c r="L173" i="57"/>
  <c r="AG172" i="53"/>
  <c r="AH172" i="53"/>
  <c r="AT172" i="53"/>
  <c r="N173" i="57"/>
  <c r="J173" i="53"/>
  <c r="AH156" i="69"/>
  <c r="AD172" i="53"/>
  <c r="Q172" i="53"/>
  <c r="E173" i="53"/>
  <c r="P173" i="53"/>
  <c r="I173" i="53"/>
  <c r="F173" i="53"/>
  <c r="G173" i="53"/>
  <c r="H173" i="53"/>
  <c r="AK172" i="52" a="1"/>
  <c r="AK172" i="52" s="1"/>
  <c r="B174" i="53" s="1"/>
  <c r="K173" i="53"/>
  <c r="D173" i="53"/>
  <c r="C173" i="53"/>
  <c r="L173" i="53"/>
  <c r="I113" i="50"/>
  <c r="M113" i="50"/>
  <c r="L113" i="50"/>
  <c r="J113" i="50"/>
  <c r="H113" i="50"/>
  <c r="B113" i="50"/>
  <c r="R113" i="50" s="1"/>
  <c r="K113" i="50"/>
  <c r="F113" i="50"/>
  <c r="U113" i="50" s="1"/>
  <c r="G113" i="50"/>
  <c r="N113" i="50"/>
  <c r="A113" i="50"/>
  <c r="E173" i="57"/>
  <c r="J173" i="57"/>
  <c r="F173" i="57"/>
  <c r="K173" i="57"/>
  <c r="G173" i="57"/>
  <c r="C173" i="57"/>
  <c r="I173" i="57"/>
  <c r="H173" i="57"/>
  <c r="D173" i="57"/>
  <c r="E103" i="32"/>
  <c r="AN172" i="55" a="1"/>
  <c r="AN172" i="55" s="1"/>
  <c r="B174" i="57" s="1"/>
  <c r="AR158" i="67" a="1"/>
  <c r="AR158" i="67" s="1"/>
  <c r="B159" i="69"/>
  <c r="L159" i="69" s="1"/>
  <c r="R156" i="69"/>
  <c r="S156" i="69" s="1"/>
  <c r="Y156" i="69" s="1"/>
  <c r="AE156" i="69"/>
  <c r="C158" i="69"/>
  <c r="P158" i="69" s="1"/>
  <c r="D157" i="69"/>
  <c r="E157" i="69" s="1"/>
  <c r="F157" i="69" s="1"/>
  <c r="G157" i="69" s="1"/>
  <c r="H157" i="69" s="1"/>
  <c r="I157" i="69" s="1"/>
  <c r="J157" i="69" s="1"/>
  <c r="K157" i="69" s="1"/>
  <c r="M157" i="69" s="1"/>
  <c r="AL103" i="11" a="1"/>
  <c r="AL103" i="11" s="1"/>
  <c r="AP113" i="59" a="1"/>
  <c r="AP113" i="59" s="1"/>
  <c r="E114" i="50" s="1"/>
  <c r="AD102" i="32" l="1"/>
  <c r="AG102" i="32" s="1"/>
  <c r="AH102" i="32" s="1"/>
  <c r="AD112" i="50"/>
  <c r="AG112" i="50" s="1"/>
  <c r="X171" i="57"/>
  <c r="AA171" i="57" s="1"/>
  <c r="AG173" i="57"/>
  <c r="AA170" i="57"/>
  <c r="AF170" i="57"/>
  <c r="M174" i="53"/>
  <c r="AC174" i="53" s="1"/>
  <c r="O174" i="53"/>
  <c r="AP158" i="69"/>
  <c r="N158" i="69"/>
  <c r="U158" i="69" s="1"/>
  <c r="R172" i="57"/>
  <c r="Q172" i="57"/>
  <c r="T172" i="57" s="1"/>
  <c r="AQ172" i="57"/>
  <c r="AE172" i="57"/>
  <c r="AD172" i="57"/>
  <c r="AJ172" i="57"/>
  <c r="AC172" i="57"/>
  <c r="M173" i="57"/>
  <c r="AK173" i="57" s="1"/>
  <c r="Q113" i="50"/>
  <c r="P113" i="50" s="1"/>
  <c r="N174" i="53"/>
  <c r="T103" i="32"/>
  <c r="O103" i="32"/>
  <c r="T114" i="50"/>
  <c r="O114" i="50"/>
  <c r="AA172" i="53"/>
  <c r="AB172" i="53"/>
  <c r="AP110" i="50"/>
  <c r="C112" i="50"/>
  <c r="AJ112" i="50"/>
  <c r="S113" i="50"/>
  <c r="Z113" i="50" s="1"/>
  <c r="AJ102" i="32"/>
  <c r="W102" i="32"/>
  <c r="X102" i="32" s="1"/>
  <c r="C102" i="32"/>
  <c r="W112" i="50"/>
  <c r="X111" i="50"/>
  <c r="V112" i="50"/>
  <c r="V102" i="32"/>
  <c r="AF157" i="69"/>
  <c r="Q157" i="69"/>
  <c r="O174" i="57"/>
  <c r="P174" i="57"/>
  <c r="AC155" i="69"/>
  <c r="AD155" i="69" s="1"/>
  <c r="AH111" i="50"/>
  <c r="AI111" i="50" s="1"/>
  <c r="AB156" i="69"/>
  <c r="AG156" i="69"/>
  <c r="O159" i="69"/>
  <c r="AO158" i="69"/>
  <c r="AK114" i="50"/>
  <c r="AE173" i="53"/>
  <c r="AF172" i="53"/>
  <c r="AK103" i="32"/>
  <c r="AM113" i="50"/>
  <c r="AL100" i="32"/>
  <c r="R173" i="53"/>
  <c r="X173" i="53" s="1"/>
  <c r="AL111" i="50"/>
  <c r="AI99" i="32"/>
  <c r="AN99" i="32" s="1"/>
  <c r="AY157" i="69"/>
  <c r="L174" i="57"/>
  <c r="AG173" i="53"/>
  <c r="AH173" i="53"/>
  <c r="AT173" i="53"/>
  <c r="N174" i="57"/>
  <c r="AH157" i="69"/>
  <c r="Q173" i="53"/>
  <c r="AD173" i="53"/>
  <c r="G174" i="53"/>
  <c r="I174" i="53"/>
  <c r="L174" i="53"/>
  <c r="H174" i="53"/>
  <c r="AK173" i="52" a="1"/>
  <c r="AK173" i="52" s="1"/>
  <c r="B175" i="53" s="1"/>
  <c r="J174" i="53"/>
  <c r="P174" i="53"/>
  <c r="C174" i="53"/>
  <c r="K174" i="53"/>
  <c r="F174" i="53"/>
  <c r="E174" i="53"/>
  <c r="D174" i="53"/>
  <c r="A103" i="32"/>
  <c r="B103" i="32"/>
  <c r="R103" i="32" s="1"/>
  <c r="G114" i="50"/>
  <c r="K114" i="50"/>
  <c r="M114" i="50"/>
  <c r="I114" i="50"/>
  <c r="J114" i="50"/>
  <c r="L114" i="50"/>
  <c r="A114" i="50"/>
  <c r="F114" i="50"/>
  <c r="U114" i="50" s="1"/>
  <c r="N114" i="50"/>
  <c r="H114" i="50"/>
  <c r="B114" i="50"/>
  <c r="R114" i="50" s="1"/>
  <c r="M103" i="32"/>
  <c r="F103" i="32"/>
  <c r="U103" i="32" s="1"/>
  <c r="N103" i="32"/>
  <c r="H103" i="32"/>
  <c r="J103" i="32"/>
  <c r="G103" i="32"/>
  <c r="L103" i="32"/>
  <c r="I103" i="32"/>
  <c r="K103" i="32"/>
  <c r="J174" i="57"/>
  <c r="G174" i="57"/>
  <c r="D174" i="57"/>
  <c r="K174" i="57"/>
  <c r="F174" i="57"/>
  <c r="H174" i="57"/>
  <c r="I174" i="57"/>
  <c r="E174" i="57"/>
  <c r="C174" i="57"/>
  <c r="E104" i="32"/>
  <c r="AN173" i="55" a="1"/>
  <c r="AN173" i="55" s="1"/>
  <c r="B175" i="57" s="1"/>
  <c r="AR159" i="67" a="1"/>
  <c r="AR159" i="67" s="1"/>
  <c r="B160" i="69"/>
  <c r="L160" i="69" s="1"/>
  <c r="C159" i="69"/>
  <c r="P159" i="69" s="1"/>
  <c r="R157" i="69"/>
  <c r="S157" i="69" s="1"/>
  <c r="Y157" i="69" s="1"/>
  <c r="AE157" i="69"/>
  <c r="D158" i="69"/>
  <c r="E158" i="69" s="1"/>
  <c r="F158" i="69" s="1"/>
  <c r="G158" i="69" s="1"/>
  <c r="H158" i="69" s="1"/>
  <c r="I158" i="69" s="1"/>
  <c r="J158" i="69" s="1"/>
  <c r="K158" i="69" s="1"/>
  <c r="M158" i="69" s="1"/>
  <c r="AL104" i="11" a="1"/>
  <c r="AL104" i="11" s="1"/>
  <c r="E105" i="32" s="1"/>
  <c r="AP114" i="59" a="1"/>
  <c r="AP114" i="59" s="1"/>
  <c r="E115" i="50" s="1"/>
  <c r="X172" i="57" l="1"/>
  <c r="AB172" i="57" s="1"/>
  <c r="AD113" i="50"/>
  <c r="AG113" i="50" s="1"/>
  <c r="AG174" i="57"/>
  <c r="AF171" i="57"/>
  <c r="AB171" i="57"/>
  <c r="M175" i="53"/>
  <c r="AC175" i="53" s="1"/>
  <c r="O175" i="53"/>
  <c r="AP159" i="69"/>
  <c r="N159" i="69"/>
  <c r="U159" i="69" s="1"/>
  <c r="Q173" i="57"/>
  <c r="T173" i="57" s="1"/>
  <c r="AQ173" i="57"/>
  <c r="AC173" i="57"/>
  <c r="AJ173" i="57"/>
  <c r="AE173" i="57"/>
  <c r="AD173" i="57"/>
  <c r="R173" i="57"/>
  <c r="M174" i="57"/>
  <c r="AK174" i="57" s="1"/>
  <c r="Q114" i="50"/>
  <c r="P114" i="50" s="1"/>
  <c r="Q103" i="32"/>
  <c r="P103" i="32" s="1"/>
  <c r="N175" i="53"/>
  <c r="O105" i="32"/>
  <c r="T105" i="32"/>
  <c r="O104" i="32"/>
  <c r="T104" i="32"/>
  <c r="T115" i="50"/>
  <c r="O115" i="50"/>
  <c r="AA173" i="53"/>
  <c r="AB173" i="53"/>
  <c r="AP111" i="50"/>
  <c r="AM103" i="32"/>
  <c r="AJ113" i="50"/>
  <c r="C113" i="50"/>
  <c r="S114" i="50"/>
  <c r="Z114" i="50" s="1"/>
  <c r="S103" i="32"/>
  <c r="Z103" i="32" s="1"/>
  <c r="W113" i="50"/>
  <c r="X112" i="50"/>
  <c r="V113" i="50"/>
  <c r="AF158" i="69"/>
  <c r="Q158" i="69"/>
  <c r="O175" i="57"/>
  <c r="P175" i="57"/>
  <c r="AC156" i="69"/>
  <c r="AD156" i="69" s="1"/>
  <c r="AH112" i="50"/>
  <c r="AI112" i="50" s="1"/>
  <c r="AB157" i="69"/>
  <c r="AG157" i="69"/>
  <c r="AO159" i="69"/>
  <c r="O160" i="69"/>
  <c r="AK115" i="50"/>
  <c r="AE174" i="53"/>
  <c r="AF173" i="53"/>
  <c r="AK105" i="32"/>
  <c r="AK104" i="32"/>
  <c r="AM114" i="50"/>
  <c r="AL101" i="32"/>
  <c r="AI100" i="32"/>
  <c r="AN100" i="32" s="1"/>
  <c r="R174" i="53"/>
  <c r="X174" i="53" s="1"/>
  <c r="AL112" i="50"/>
  <c r="AY158" i="69"/>
  <c r="L175" i="57"/>
  <c r="AH174" i="53"/>
  <c r="AT174" i="53"/>
  <c r="AG174" i="53"/>
  <c r="N175" i="57"/>
  <c r="L175" i="53"/>
  <c r="AH158" i="69"/>
  <c r="AD174" i="53"/>
  <c r="Q174" i="53"/>
  <c r="G175" i="53"/>
  <c r="I175" i="53"/>
  <c r="P175" i="53"/>
  <c r="K175" i="53"/>
  <c r="D175" i="53"/>
  <c r="C175" i="53"/>
  <c r="H175" i="53"/>
  <c r="AK174" i="52" a="1"/>
  <c r="AK174" i="52" s="1"/>
  <c r="B176" i="53" s="1"/>
  <c r="J175" i="53"/>
  <c r="E175" i="53"/>
  <c r="F175" i="53"/>
  <c r="A105" i="32"/>
  <c r="B105" i="32"/>
  <c r="R105" i="32" s="1"/>
  <c r="A104" i="32"/>
  <c r="B104" i="32"/>
  <c r="R104" i="32" s="1"/>
  <c r="B115" i="50"/>
  <c r="R115" i="50" s="1"/>
  <c r="K115" i="50"/>
  <c r="A115" i="50"/>
  <c r="G115" i="50"/>
  <c r="M115" i="50"/>
  <c r="N115" i="50"/>
  <c r="H115" i="50"/>
  <c r="F115" i="50"/>
  <c r="U115" i="50" s="1"/>
  <c r="J115" i="50"/>
  <c r="I115" i="50"/>
  <c r="L115" i="50"/>
  <c r="I105" i="32"/>
  <c r="J105" i="32"/>
  <c r="L105" i="32"/>
  <c r="F105" i="32"/>
  <c r="U105" i="32" s="1"/>
  <c r="N105" i="32"/>
  <c r="H105" i="32"/>
  <c r="K105" i="32"/>
  <c r="G105" i="32"/>
  <c r="M105" i="32"/>
  <c r="K104" i="32"/>
  <c r="L104" i="32"/>
  <c r="F104" i="32"/>
  <c r="U104" i="32" s="1"/>
  <c r="N104" i="32"/>
  <c r="H104" i="32"/>
  <c r="M104" i="32"/>
  <c r="J104" i="32"/>
  <c r="I104" i="32"/>
  <c r="G104" i="32"/>
  <c r="I175" i="57"/>
  <c r="F175" i="57"/>
  <c r="D175" i="57"/>
  <c r="K175" i="57"/>
  <c r="G175" i="57"/>
  <c r="C175" i="57"/>
  <c r="J175" i="57"/>
  <c r="H175" i="57"/>
  <c r="E175" i="57"/>
  <c r="AN174" i="55" a="1"/>
  <c r="AN174" i="55" s="1"/>
  <c r="B176" i="57" s="1"/>
  <c r="AR160" i="67" a="1"/>
  <c r="AR160" i="67" s="1"/>
  <c r="B161" i="69"/>
  <c r="L161" i="69" s="1"/>
  <c r="R158" i="69"/>
  <c r="S158" i="69" s="1"/>
  <c r="Y158" i="69" s="1"/>
  <c r="AE158" i="69"/>
  <c r="D159" i="69"/>
  <c r="E159" i="69" s="1"/>
  <c r="F159" i="69" s="1"/>
  <c r="G159" i="69" s="1"/>
  <c r="H159" i="69" s="1"/>
  <c r="I159" i="69" s="1"/>
  <c r="J159" i="69" s="1"/>
  <c r="K159" i="69" s="1"/>
  <c r="M159" i="69" s="1"/>
  <c r="C160" i="69"/>
  <c r="P160" i="69" s="1"/>
  <c r="AL105" i="11" a="1"/>
  <c r="AL105" i="11" s="1"/>
  <c r="E106" i="32" s="1"/>
  <c r="AP115" i="59" a="1"/>
  <c r="AP115" i="59" s="1"/>
  <c r="E116" i="50" s="1"/>
  <c r="L80" i="29"/>
  <c r="X173" i="57" l="1"/>
  <c r="AA173" i="57" s="1"/>
  <c r="AD103" i="32"/>
  <c r="AG103" i="32" s="1"/>
  <c r="AH103" i="32" s="1"/>
  <c r="AD114" i="50"/>
  <c r="AG114" i="50" s="1"/>
  <c r="AG175" i="57"/>
  <c r="AA172" i="57"/>
  <c r="AF172" i="57"/>
  <c r="M176" i="53"/>
  <c r="AC176" i="53" s="1"/>
  <c r="O176" i="53"/>
  <c r="AP160" i="69"/>
  <c r="N160" i="69"/>
  <c r="U160" i="69" s="1"/>
  <c r="AJ174" i="57"/>
  <c r="AD174" i="57"/>
  <c r="R174" i="57"/>
  <c r="Q174" i="57"/>
  <c r="T174" i="57" s="1"/>
  <c r="AQ174" i="57"/>
  <c r="AC174" i="57"/>
  <c r="AE174" i="57"/>
  <c r="M175" i="57"/>
  <c r="AK175" i="57" s="1"/>
  <c r="Q115" i="50"/>
  <c r="P115" i="50" s="1"/>
  <c r="Q104" i="32"/>
  <c r="P104" i="32" s="1"/>
  <c r="Q105" i="32"/>
  <c r="P105" i="32" s="1"/>
  <c r="N176" i="53"/>
  <c r="T106" i="32"/>
  <c r="O106" i="32"/>
  <c r="T116" i="50"/>
  <c r="O116" i="50"/>
  <c r="AP112" i="50"/>
  <c r="AA174" i="53"/>
  <c r="AB174" i="53"/>
  <c r="AM104" i="32"/>
  <c r="AM105" i="32"/>
  <c r="C114" i="50"/>
  <c r="AJ114" i="50"/>
  <c r="S115" i="50"/>
  <c r="Z115" i="50" s="1"/>
  <c r="W103" i="32"/>
  <c r="X103" i="32" s="1"/>
  <c r="C103" i="32"/>
  <c r="AJ103" i="32"/>
  <c r="S104" i="32"/>
  <c r="AD104" i="32" s="1"/>
  <c r="S105" i="32"/>
  <c r="Z105" i="32" s="1"/>
  <c r="W114" i="50"/>
  <c r="X113" i="50"/>
  <c r="V114" i="50"/>
  <c r="V103" i="32"/>
  <c r="AF159" i="69"/>
  <c r="Q159" i="69"/>
  <c r="O176" i="57"/>
  <c r="P176" i="57"/>
  <c r="AC157" i="69"/>
  <c r="AD157" i="69" s="1"/>
  <c r="AH113" i="50"/>
  <c r="AI113" i="50" s="1"/>
  <c r="AB158" i="69"/>
  <c r="AG158" i="69"/>
  <c r="O161" i="69"/>
  <c r="AO160" i="69"/>
  <c r="AK116" i="50"/>
  <c r="AF174" i="53"/>
  <c r="AE175" i="53"/>
  <c r="AK106" i="32"/>
  <c r="AM115" i="50"/>
  <c r="AL102" i="32"/>
  <c r="AI101" i="32"/>
  <c r="AN101" i="32" s="1"/>
  <c r="R175" i="53"/>
  <c r="X175" i="53" s="1"/>
  <c r="AL113" i="50"/>
  <c r="AY159" i="69"/>
  <c r="L176" i="57"/>
  <c r="AH175" i="53"/>
  <c r="AT175" i="53"/>
  <c r="AG175" i="53"/>
  <c r="N176" i="57"/>
  <c r="I176" i="53"/>
  <c r="AH159" i="69"/>
  <c r="AD175" i="53"/>
  <c r="Q175" i="53"/>
  <c r="L176" i="53"/>
  <c r="D176" i="53"/>
  <c r="AK175" i="52" a="1"/>
  <c r="AK175" i="52" s="1"/>
  <c r="B177" i="53" s="1"/>
  <c r="J176" i="53"/>
  <c r="G176" i="53"/>
  <c r="E176" i="53"/>
  <c r="P176" i="53"/>
  <c r="F176" i="53"/>
  <c r="K176" i="53"/>
  <c r="H176" i="53"/>
  <c r="C176" i="53"/>
  <c r="A106" i="32"/>
  <c r="B106" i="32"/>
  <c r="R106" i="32" s="1"/>
  <c r="F116" i="50"/>
  <c r="U116" i="50" s="1"/>
  <c r="I116" i="50"/>
  <c r="K116" i="50"/>
  <c r="M116" i="50"/>
  <c r="B116" i="50"/>
  <c r="R116" i="50" s="1"/>
  <c r="N116" i="50"/>
  <c r="G116" i="50"/>
  <c r="A116" i="50"/>
  <c r="L116" i="50"/>
  <c r="H116" i="50"/>
  <c r="J116" i="50"/>
  <c r="G106" i="32"/>
  <c r="H106" i="32"/>
  <c r="J106" i="32"/>
  <c r="L106" i="32"/>
  <c r="I106" i="32"/>
  <c r="N106" i="32"/>
  <c r="F106" i="32"/>
  <c r="U106" i="32" s="1"/>
  <c r="K106" i="32"/>
  <c r="M106" i="32"/>
  <c r="D176" i="57"/>
  <c r="C176" i="57"/>
  <c r="K176" i="57"/>
  <c r="J176" i="57"/>
  <c r="H176" i="57"/>
  <c r="F176" i="57"/>
  <c r="I176" i="57"/>
  <c r="E176" i="57"/>
  <c r="G176" i="57"/>
  <c r="AN175" i="55" a="1"/>
  <c r="AN175" i="55" s="1"/>
  <c r="B177" i="57" s="1"/>
  <c r="AR161" i="67" a="1"/>
  <c r="AR161" i="67" s="1"/>
  <c r="B162" i="69"/>
  <c r="L162" i="69" s="1"/>
  <c r="D160" i="69"/>
  <c r="E160" i="69" s="1"/>
  <c r="F160" i="69" s="1"/>
  <c r="G160" i="69" s="1"/>
  <c r="H160" i="69" s="1"/>
  <c r="I160" i="69" s="1"/>
  <c r="J160" i="69" s="1"/>
  <c r="K160" i="69" s="1"/>
  <c r="M160" i="69" s="1"/>
  <c r="C161" i="69"/>
  <c r="P161" i="69" s="1"/>
  <c r="AE159" i="69"/>
  <c r="R159" i="69"/>
  <c r="S159" i="69" s="1"/>
  <c r="Y159" i="69" s="1"/>
  <c r="AL106" i="11" a="1"/>
  <c r="AL106" i="11" s="1"/>
  <c r="E107" i="32" s="1"/>
  <c r="AP116" i="59" a="1"/>
  <c r="AP116" i="59" s="1"/>
  <c r="E117" i="50" s="1"/>
  <c r="X174" i="57" l="1"/>
  <c r="AB174" i="57" s="1"/>
  <c r="AD105" i="32"/>
  <c r="AG105" i="32" s="1"/>
  <c r="AH105" i="32" s="1"/>
  <c r="AD115" i="50"/>
  <c r="AG115" i="50" s="1"/>
  <c r="AG176" i="57"/>
  <c r="AF173" i="57"/>
  <c r="AB173" i="57"/>
  <c r="M177" i="53"/>
  <c r="AC177" i="53" s="1"/>
  <c r="O177" i="53"/>
  <c r="AP161" i="69"/>
  <c r="N161" i="69"/>
  <c r="U161" i="69" s="1"/>
  <c r="Q175" i="57"/>
  <c r="T175" i="57" s="1"/>
  <c r="AQ175" i="57"/>
  <c r="AD175" i="57"/>
  <c r="AJ175" i="57"/>
  <c r="R175" i="57"/>
  <c r="AE175" i="57"/>
  <c r="AC175" i="57"/>
  <c r="M176" i="57"/>
  <c r="AK176" i="57" s="1"/>
  <c r="Q116" i="50"/>
  <c r="P116" i="50" s="1"/>
  <c r="Q106" i="32"/>
  <c r="P106" i="32" s="1"/>
  <c r="N177" i="53"/>
  <c r="T107" i="32"/>
  <c r="O107" i="32"/>
  <c r="T117" i="50"/>
  <c r="O117" i="50"/>
  <c r="AA175" i="53"/>
  <c r="AB175" i="53"/>
  <c r="AP113" i="50"/>
  <c r="C104" i="32"/>
  <c r="Z104" i="32"/>
  <c r="AM106" i="32"/>
  <c r="C115" i="50"/>
  <c r="AJ115" i="50"/>
  <c r="S116" i="50"/>
  <c r="Z116" i="50" s="1"/>
  <c r="AJ104" i="32"/>
  <c r="W105" i="32"/>
  <c r="X105" i="32" s="1"/>
  <c r="C105" i="32"/>
  <c r="AJ105" i="32"/>
  <c r="S106" i="32"/>
  <c r="AD106" i="32" s="1"/>
  <c r="W115" i="50"/>
  <c r="W104" i="32"/>
  <c r="X104" i="32" s="1"/>
  <c r="X114" i="50"/>
  <c r="V115" i="50"/>
  <c r="V105" i="32"/>
  <c r="AF160" i="69"/>
  <c r="Q160" i="69"/>
  <c r="O177" i="57"/>
  <c r="P177" i="57"/>
  <c r="AC158" i="69"/>
  <c r="AD158" i="69" s="1"/>
  <c r="AH114" i="50"/>
  <c r="AI114" i="50" s="1"/>
  <c r="AB159" i="69"/>
  <c r="AG159" i="69"/>
  <c r="AO161" i="69"/>
  <c r="O162" i="69"/>
  <c r="AK117" i="50"/>
  <c r="AF175" i="53"/>
  <c r="AE176" i="53"/>
  <c r="AK107" i="32"/>
  <c r="AG104" i="32"/>
  <c r="AH104" i="32" s="1"/>
  <c r="AM116" i="50"/>
  <c r="AI102" i="32"/>
  <c r="AN102" i="32" s="1"/>
  <c r="R176" i="53"/>
  <c r="X176" i="53" s="1"/>
  <c r="AL114" i="50"/>
  <c r="AY160" i="69"/>
  <c r="L177" i="57"/>
  <c r="AH176" i="53"/>
  <c r="AT176" i="53"/>
  <c r="AG176" i="53"/>
  <c r="N177" i="57"/>
  <c r="AH160" i="69"/>
  <c r="V104" i="32"/>
  <c r="AD176" i="53"/>
  <c r="Q176" i="53"/>
  <c r="AK176" i="52" a="1"/>
  <c r="AK176" i="52" s="1"/>
  <c r="B178" i="53" s="1"/>
  <c r="E177" i="53"/>
  <c r="C177" i="53"/>
  <c r="P177" i="53"/>
  <c r="D177" i="53"/>
  <c r="I177" i="53"/>
  <c r="K177" i="53"/>
  <c r="H177" i="53"/>
  <c r="L177" i="53"/>
  <c r="J177" i="53"/>
  <c r="G177" i="53"/>
  <c r="F177" i="53"/>
  <c r="A107" i="32"/>
  <c r="B107" i="32"/>
  <c r="R107" i="32" s="1"/>
  <c r="J117" i="50"/>
  <c r="G117" i="50"/>
  <c r="N117" i="50"/>
  <c r="M117" i="50"/>
  <c r="B117" i="50"/>
  <c r="R117" i="50" s="1"/>
  <c r="H117" i="50"/>
  <c r="F117" i="50"/>
  <c r="U117" i="50" s="1"/>
  <c r="I117" i="50"/>
  <c r="L117" i="50"/>
  <c r="K117" i="50"/>
  <c r="A117" i="50"/>
  <c r="M107" i="32"/>
  <c r="F107" i="32"/>
  <c r="U107" i="32" s="1"/>
  <c r="N107" i="32"/>
  <c r="H107" i="32"/>
  <c r="J107" i="32"/>
  <c r="G107" i="32"/>
  <c r="L107" i="32"/>
  <c r="K107" i="32"/>
  <c r="I107" i="32"/>
  <c r="J177" i="57"/>
  <c r="H177" i="57"/>
  <c r="E177" i="57"/>
  <c r="K177" i="57"/>
  <c r="G177" i="57"/>
  <c r="C177" i="57"/>
  <c r="F177" i="57"/>
  <c r="I177" i="57"/>
  <c r="D177" i="57"/>
  <c r="AN176" i="55" a="1"/>
  <c r="AN176" i="55" s="1"/>
  <c r="B178" i="57" s="1"/>
  <c r="AR162" i="67" a="1"/>
  <c r="AR162" i="67" s="1"/>
  <c r="B163" i="69"/>
  <c r="L163" i="69" s="1"/>
  <c r="AE160" i="69"/>
  <c r="R160" i="69"/>
  <c r="S160" i="69" s="1"/>
  <c r="Y160" i="69" s="1"/>
  <c r="D161" i="69"/>
  <c r="E161" i="69" s="1"/>
  <c r="F161" i="69" s="1"/>
  <c r="G161" i="69" s="1"/>
  <c r="H161" i="69" s="1"/>
  <c r="I161" i="69" s="1"/>
  <c r="J161" i="69" s="1"/>
  <c r="K161" i="69" s="1"/>
  <c r="M161" i="69" s="1"/>
  <c r="C162" i="69"/>
  <c r="P162" i="69" s="1"/>
  <c r="AL107" i="11" a="1"/>
  <c r="AL107" i="11" s="1"/>
  <c r="E108" i="32" s="1"/>
  <c r="AP117" i="59" a="1"/>
  <c r="AP117" i="59" s="1"/>
  <c r="E118" i="50" s="1"/>
  <c r="AD116" i="50" l="1"/>
  <c r="AG116" i="50" s="1"/>
  <c r="X175" i="57"/>
  <c r="AB175" i="57" s="1"/>
  <c r="AG177" i="57"/>
  <c r="AF174" i="57"/>
  <c r="AA174" i="57"/>
  <c r="M178" i="53"/>
  <c r="AC178" i="53" s="1"/>
  <c r="O178" i="53"/>
  <c r="AP162" i="69"/>
  <c r="N162" i="69"/>
  <c r="U162" i="69" s="1"/>
  <c r="AQ176" i="57"/>
  <c r="AD176" i="57"/>
  <c r="AJ176" i="57"/>
  <c r="Q176" i="57"/>
  <c r="T176" i="57" s="1"/>
  <c r="R176" i="57"/>
  <c r="AC176" i="57"/>
  <c r="AE176" i="57"/>
  <c r="M177" i="57"/>
  <c r="AK177" i="57" s="1"/>
  <c r="Q117" i="50"/>
  <c r="P117" i="50" s="1"/>
  <c r="Q107" i="32"/>
  <c r="P107" i="32" s="1"/>
  <c r="N178" i="53"/>
  <c r="T108" i="32"/>
  <c r="O108" i="32"/>
  <c r="T118" i="50"/>
  <c r="O118" i="50"/>
  <c r="AA176" i="53"/>
  <c r="AB176" i="53"/>
  <c r="AP114" i="50"/>
  <c r="C106" i="32"/>
  <c r="Z106" i="32"/>
  <c r="AM107" i="32"/>
  <c r="C116" i="50"/>
  <c r="AJ116" i="50"/>
  <c r="S117" i="50"/>
  <c r="Z117" i="50" s="1"/>
  <c r="S107" i="32"/>
  <c r="Z107" i="32" s="1"/>
  <c r="W106" i="32"/>
  <c r="X106" i="32" s="1"/>
  <c r="AJ106" i="32"/>
  <c r="W116" i="50"/>
  <c r="X115" i="50"/>
  <c r="V116" i="50"/>
  <c r="V106" i="32"/>
  <c r="AF161" i="69"/>
  <c r="Q161" i="69"/>
  <c r="O178" i="57"/>
  <c r="P178" i="57"/>
  <c r="AC159" i="69"/>
  <c r="AD159" i="69" s="1"/>
  <c r="AH115" i="50"/>
  <c r="AI115" i="50" s="1"/>
  <c r="AB160" i="69"/>
  <c r="AG160" i="69"/>
  <c r="AO162" i="69"/>
  <c r="O163" i="69"/>
  <c r="AK118" i="50"/>
  <c r="AE177" i="53"/>
  <c r="AF176" i="53"/>
  <c r="AK108" i="32"/>
  <c r="AG106" i="32"/>
  <c r="AH106" i="32" s="1"/>
  <c r="AM117" i="50"/>
  <c r="AL103" i="32"/>
  <c r="R177" i="53"/>
  <c r="X177" i="53" s="1"/>
  <c r="AL115" i="50"/>
  <c r="AY161" i="69"/>
  <c r="L178" i="57"/>
  <c r="AG177" i="53"/>
  <c r="AH177" i="53"/>
  <c r="AT177" i="53"/>
  <c r="N178" i="57"/>
  <c r="K178" i="53"/>
  <c r="AH161" i="69"/>
  <c r="AD177" i="53"/>
  <c r="Q177" i="53"/>
  <c r="AK177" i="52" a="1"/>
  <c r="AK177" i="52" s="1"/>
  <c r="B179" i="53" s="1"/>
  <c r="F178" i="53"/>
  <c r="D178" i="53"/>
  <c r="C178" i="53"/>
  <c r="J178" i="53"/>
  <c r="E178" i="53"/>
  <c r="G178" i="53"/>
  <c r="I178" i="53"/>
  <c r="H178" i="53"/>
  <c r="P178" i="53"/>
  <c r="L178" i="53"/>
  <c r="A108" i="32"/>
  <c r="B108" i="32"/>
  <c r="R108" i="32" s="1"/>
  <c r="I118" i="50"/>
  <c r="M118" i="50"/>
  <c r="L118" i="50"/>
  <c r="H118" i="50"/>
  <c r="J118" i="50"/>
  <c r="A118" i="50"/>
  <c r="B118" i="50"/>
  <c r="R118" i="50" s="1"/>
  <c r="N118" i="50"/>
  <c r="K118" i="50"/>
  <c r="G118" i="50"/>
  <c r="F118" i="50"/>
  <c r="U118" i="50" s="1"/>
  <c r="K108" i="32"/>
  <c r="L108" i="32"/>
  <c r="F108" i="32"/>
  <c r="U108" i="32" s="1"/>
  <c r="N108" i="32"/>
  <c r="H108" i="32"/>
  <c r="J108" i="32"/>
  <c r="M108" i="32"/>
  <c r="G108" i="32"/>
  <c r="I108" i="32"/>
  <c r="D178" i="57"/>
  <c r="J178" i="57"/>
  <c r="K178" i="57"/>
  <c r="F178" i="57"/>
  <c r="I178" i="57"/>
  <c r="E178" i="57"/>
  <c r="H178" i="57"/>
  <c r="C178" i="57"/>
  <c r="G178" i="57"/>
  <c r="AN177" i="55" a="1"/>
  <c r="AN177" i="55" s="1"/>
  <c r="B179" i="57" s="1"/>
  <c r="R161" i="69"/>
  <c r="S161" i="69" s="1"/>
  <c r="Y161" i="69" s="1"/>
  <c r="AE161" i="69"/>
  <c r="C163" i="69"/>
  <c r="P163" i="69" s="1"/>
  <c r="D162" i="69"/>
  <c r="E162" i="69" s="1"/>
  <c r="F162" i="69" s="1"/>
  <c r="G162" i="69" s="1"/>
  <c r="H162" i="69" s="1"/>
  <c r="I162" i="69" s="1"/>
  <c r="J162" i="69" s="1"/>
  <c r="K162" i="69" s="1"/>
  <c r="M162" i="69" s="1"/>
  <c r="AR163" i="67" a="1"/>
  <c r="AR163" i="67" s="1"/>
  <c r="B164" i="69"/>
  <c r="L164" i="69" s="1"/>
  <c r="AL108" i="11" a="1"/>
  <c r="AL108" i="11" s="1"/>
  <c r="E109" i="32" s="1"/>
  <c r="AP118" i="59" a="1"/>
  <c r="AP118" i="59" s="1"/>
  <c r="E119" i="50" s="1"/>
  <c r="AD107" i="32" l="1"/>
  <c r="AG107" i="32" s="1"/>
  <c r="AH107" i="32" s="1"/>
  <c r="AD117" i="50"/>
  <c r="AG117" i="50" s="1"/>
  <c r="X176" i="57"/>
  <c r="AB176" i="57" s="1"/>
  <c r="AG178" i="57"/>
  <c r="AA175" i="57"/>
  <c r="AF175" i="57"/>
  <c r="M179" i="53"/>
  <c r="AC179" i="53" s="1"/>
  <c r="O179" i="53"/>
  <c r="AP163" i="69"/>
  <c r="N163" i="69"/>
  <c r="U163" i="69" s="1"/>
  <c r="Q177" i="57"/>
  <c r="T177" i="57" s="1"/>
  <c r="AQ177" i="57"/>
  <c r="AD177" i="57"/>
  <c r="AJ177" i="57"/>
  <c r="R177" i="57"/>
  <c r="AC177" i="57"/>
  <c r="AE177" i="57"/>
  <c r="M178" i="57"/>
  <c r="AK178" i="57" s="1"/>
  <c r="Q118" i="50"/>
  <c r="P118" i="50" s="1"/>
  <c r="Q108" i="32"/>
  <c r="P108" i="32" s="1"/>
  <c r="N179" i="53"/>
  <c r="T109" i="32"/>
  <c r="O109" i="32"/>
  <c r="T119" i="50"/>
  <c r="O119" i="50"/>
  <c r="AA177" i="53"/>
  <c r="AB177" i="53"/>
  <c r="AP115" i="50"/>
  <c r="AM108" i="32"/>
  <c r="AJ117" i="50"/>
  <c r="C117" i="50"/>
  <c r="S118" i="50"/>
  <c r="Z118" i="50" s="1"/>
  <c r="AJ107" i="32"/>
  <c r="W107" i="32"/>
  <c r="X107" i="32" s="1"/>
  <c r="C107" i="32"/>
  <c r="S108" i="32"/>
  <c r="Z108" i="32" s="1"/>
  <c r="W117" i="50"/>
  <c r="X116" i="50"/>
  <c r="V117" i="50"/>
  <c r="V107" i="32"/>
  <c r="AF162" i="69"/>
  <c r="Q162" i="69"/>
  <c r="O179" i="57"/>
  <c r="P179" i="57"/>
  <c r="AC160" i="69"/>
  <c r="AD160" i="69" s="1"/>
  <c r="AH116" i="50"/>
  <c r="AI116" i="50" s="1"/>
  <c r="AB161" i="69"/>
  <c r="AG161" i="69"/>
  <c r="AO163" i="69"/>
  <c r="O164" i="69"/>
  <c r="AK119" i="50"/>
  <c r="AF177" i="53"/>
  <c r="AE178" i="53"/>
  <c r="AK109" i="32"/>
  <c r="AM118" i="50"/>
  <c r="AL104" i="32"/>
  <c r="AL105" i="32"/>
  <c r="AI103" i="32"/>
  <c r="AN103" i="32" s="1"/>
  <c r="R178" i="53"/>
  <c r="X178" i="53" s="1"/>
  <c r="AL116" i="50"/>
  <c r="AY162" i="69"/>
  <c r="L179" i="57"/>
  <c r="AH178" i="53"/>
  <c r="AT178" i="53"/>
  <c r="AG178" i="53"/>
  <c r="N179" i="57"/>
  <c r="D179" i="53"/>
  <c r="AH162" i="69"/>
  <c r="AD178" i="53"/>
  <c r="Q178" i="53"/>
  <c r="AK178" i="52" a="1"/>
  <c r="AK178" i="52" s="1"/>
  <c r="B180" i="53" s="1"/>
  <c r="C179" i="53"/>
  <c r="P179" i="53"/>
  <c r="J179" i="53"/>
  <c r="H179" i="53"/>
  <c r="G179" i="53"/>
  <c r="E179" i="53"/>
  <c r="F179" i="53"/>
  <c r="K179" i="53"/>
  <c r="I179" i="53"/>
  <c r="L179" i="53"/>
  <c r="A109" i="32"/>
  <c r="B109" i="32"/>
  <c r="R109" i="32" s="1"/>
  <c r="J119" i="50"/>
  <c r="F119" i="50"/>
  <c r="U119" i="50" s="1"/>
  <c r="G119" i="50"/>
  <c r="M119" i="50"/>
  <c r="A119" i="50"/>
  <c r="N119" i="50"/>
  <c r="B119" i="50"/>
  <c r="R119" i="50" s="1"/>
  <c r="L119" i="50"/>
  <c r="I119" i="50"/>
  <c r="K119" i="50"/>
  <c r="H119" i="50"/>
  <c r="I109" i="32"/>
  <c r="J109" i="32"/>
  <c r="L109" i="32"/>
  <c r="F109" i="32"/>
  <c r="U109" i="32" s="1"/>
  <c r="N109" i="32"/>
  <c r="K109" i="32"/>
  <c r="H109" i="32"/>
  <c r="G109" i="32"/>
  <c r="M109" i="32"/>
  <c r="J179" i="57"/>
  <c r="I179" i="57"/>
  <c r="F179" i="57"/>
  <c r="D179" i="57"/>
  <c r="E179" i="57"/>
  <c r="H179" i="57"/>
  <c r="G179" i="57"/>
  <c r="K179" i="57"/>
  <c r="C179" i="57"/>
  <c r="AN178" i="55" a="1"/>
  <c r="AN178" i="55" s="1"/>
  <c r="B180" i="57" s="1"/>
  <c r="R162" i="69"/>
  <c r="S162" i="69" s="1"/>
  <c r="Y162" i="69" s="1"/>
  <c r="AE162" i="69"/>
  <c r="D163" i="69"/>
  <c r="E163" i="69" s="1"/>
  <c r="F163" i="69" s="1"/>
  <c r="G163" i="69" s="1"/>
  <c r="H163" i="69" s="1"/>
  <c r="I163" i="69" s="1"/>
  <c r="J163" i="69" s="1"/>
  <c r="K163" i="69" s="1"/>
  <c r="M163" i="69" s="1"/>
  <c r="C164" i="69"/>
  <c r="P164" i="69" s="1"/>
  <c r="AR164" i="67" a="1"/>
  <c r="AR164" i="67" s="1"/>
  <c r="B165" i="69"/>
  <c r="L165" i="69" s="1"/>
  <c r="AL109" i="11" a="1"/>
  <c r="AL109" i="11" s="1"/>
  <c r="AP119" i="59" a="1"/>
  <c r="AP119" i="59" s="1"/>
  <c r="E120" i="50" s="1"/>
  <c r="L12" i="50"/>
  <c r="AD108" i="32" l="1"/>
  <c r="AG108" i="32" s="1"/>
  <c r="AH108" i="32" s="1"/>
  <c r="AD118" i="50"/>
  <c r="AG118" i="50" s="1"/>
  <c r="X177" i="57"/>
  <c r="AB177" i="57" s="1"/>
  <c r="AG179" i="57"/>
  <c r="AA176" i="57"/>
  <c r="AF176" i="57"/>
  <c r="M180" i="53"/>
  <c r="AC180" i="53" s="1"/>
  <c r="O180" i="53"/>
  <c r="AP164" i="69"/>
  <c r="N164" i="69"/>
  <c r="U164" i="69" s="1"/>
  <c r="Q178" i="57"/>
  <c r="T178" i="57" s="1"/>
  <c r="AJ178" i="57"/>
  <c r="AD178" i="57"/>
  <c r="AQ178" i="57"/>
  <c r="AC178" i="57"/>
  <c r="R178" i="57"/>
  <c r="AE178" i="57"/>
  <c r="M179" i="57"/>
  <c r="AK179" i="57" s="1"/>
  <c r="Q119" i="50"/>
  <c r="P119" i="50" s="1"/>
  <c r="Q109" i="32"/>
  <c r="P109" i="32" s="1"/>
  <c r="N180" i="53"/>
  <c r="T120" i="50"/>
  <c r="O120" i="50"/>
  <c r="AA178" i="53"/>
  <c r="AB178" i="53"/>
  <c r="AP116" i="50"/>
  <c r="AM109" i="32"/>
  <c r="C118" i="50"/>
  <c r="AJ118" i="50"/>
  <c r="S119" i="50"/>
  <c r="Z119" i="50" s="1"/>
  <c r="C108" i="32"/>
  <c r="AJ108" i="32"/>
  <c r="S109" i="32"/>
  <c r="Z109" i="32" s="1"/>
  <c r="W118" i="50"/>
  <c r="W108" i="32"/>
  <c r="X108" i="32" s="1"/>
  <c r="X117" i="50"/>
  <c r="V118" i="50"/>
  <c r="AF163" i="69"/>
  <c r="Q163" i="69"/>
  <c r="O180" i="57"/>
  <c r="P180" i="57"/>
  <c r="AC161" i="69"/>
  <c r="AD161" i="69" s="1"/>
  <c r="AH117" i="50"/>
  <c r="AI117" i="50" s="1"/>
  <c r="AB162" i="69"/>
  <c r="AG162" i="69"/>
  <c r="AO164" i="69"/>
  <c r="O165" i="69"/>
  <c r="AK120" i="50"/>
  <c r="AE179" i="53"/>
  <c r="AF178" i="53"/>
  <c r="AM119" i="50"/>
  <c r="AL106" i="32"/>
  <c r="AI104" i="32"/>
  <c r="AN104" i="32" s="1"/>
  <c r="R179" i="53"/>
  <c r="X179" i="53" s="1"/>
  <c r="AL117" i="50"/>
  <c r="V108" i="32"/>
  <c r="AI105" i="32"/>
  <c r="AN105" i="32" s="1"/>
  <c r="M12" i="50"/>
  <c r="AY163" i="69"/>
  <c r="L180" i="57"/>
  <c r="AG179" i="53"/>
  <c r="AH179" i="53"/>
  <c r="AT179" i="53"/>
  <c r="N180" i="57"/>
  <c r="AH163" i="69"/>
  <c r="AD179" i="53"/>
  <c r="Q179" i="53"/>
  <c r="P180" i="53"/>
  <c r="C180" i="53"/>
  <c r="L180" i="53"/>
  <c r="J180" i="53"/>
  <c r="E180" i="53"/>
  <c r="H180" i="53"/>
  <c r="I180" i="53"/>
  <c r="K180" i="53"/>
  <c r="AK179" i="52" a="1"/>
  <c r="AK179" i="52" s="1"/>
  <c r="B181" i="53" s="1"/>
  <c r="F180" i="53"/>
  <c r="D180" i="53"/>
  <c r="G180" i="53"/>
  <c r="I120" i="50"/>
  <c r="M120" i="50"/>
  <c r="G120" i="50"/>
  <c r="H120" i="50"/>
  <c r="J120" i="50"/>
  <c r="A120" i="50"/>
  <c r="K120" i="50"/>
  <c r="N120" i="50"/>
  <c r="B120" i="50"/>
  <c r="R120" i="50" s="1"/>
  <c r="L120" i="50"/>
  <c r="F120" i="50"/>
  <c r="U120" i="50" s="1"/>
  <c r="F180" i="57"/>
  <c r="C180" i="57"/>
  <c r="K180" i="57"/>
  <c r="H180" i="57"/>
  <c r="G180" i="57"/>
  <c r="D180" i="57"/>
  <c r="J180" i="57"/>
  <c r="I180" i="57"/>
  <c r="E180" i="57"/>
  <c r="E110" i="32"/>
  <c r="AN179" i="55" a="1"/>
  <c r="AN179" i="55" s="1"/>
  <c r="B181" i="57" s="1"/>
  <c r="D164" i="69"/>
  <c r="E164" i="69" s="1"/>
  <c r="F164" i="69" s="1"/>
  <c r="G164" i="69" s="1"/>
  <c r="H164" i="69" s="1"/>
  <c r="I164" i="69" s="1"/>
  <c r="J164" i="69" s="1"/>
  <c r="K164" i="69" s="1"/>
  <c r="M164" i="69" s="1"/>
  <c r="AE163" i="69"/>
  <c r="R163" i="69"/>
  <c r="S163" i="69" s="1"/>
  <c r="C165" i="69"/>
  <c r="P165" i="69" s="1"/>
  <c r="AR165" i="67" a="1"/>
  <c r="AR165" i="67" s="1"/>
  <c r="B166" i="69"/>
  <c r="L166" i="69" s="1"/>
  <c r="AL110" i="11" a="1"/>
  <c r="AL110" i="11" s="1"/>
  <c r="E111" i="32" s="1"/>
  <c r="J11" i="59"/>
  <c r="AP120" i="59" a="1"/>
  <c r="AP120" i="59" s="1"/>
  <c r="E121" i="50" s="1"/>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l="1"/>
  <c r="AY259" i="59" s="1" a="1"/>
  <c r="AY259" i="59" s="1"/>
  <c r="X11" i="59"/>
  <c r="Y163" i="69"/>
  <c r="AB163" i="69" s="1"/>
  <c r="AC163" i="69" s="1"/>
  <c r="AD163" i="69" s="1"/>
  <c r="AD109" i="32"/>
  <c r="AG109" i="32" s="1"/>
  <c r="AH109" i="32" s="1"/>
  <c r="AD119" i="50"/>
  <c r="AG119" i="50" s="1"/>
  <c r="X178" i="57"/>
  <c r="AA178" i="57" s="1"/>
  <c r="AG180" i="57"/>
  <c r="AF177" i="57"/>
  <c r="AA177" i="57"/>
  <c r="M181" i="53"/>
  <c r="AC181" i="53" s="1"/>
  <c r="O181" i="53"/>
  <c r="AP165" i="69"/>
  <c r="N165" i="69"/>
  <c r="U165" i="69" s="1"/>
  <c r="AJ179" i="57"/>
  <c r="AD179" i="57"/>
  <c r="AC179" i="57"/>
  <c r="AQ179" i="57"/>
  <c r="Q179" i="57"/>
  <c r="T179" i="57" s="1"/>
  <c r="AE179" i="57"/>
  <c r="R179" i="57"/>
  <c r="M180" i="57"/>
  <c r="AK180" i="57" s="1"/>
  <c r="Q120" i="50"/>
  <c r="P120" i="50" s="1"/>
  <c r="N181" i="53"/>
  <c r="T111" i="32"/>
  <c r="O111" i="32"/>
  <c r="T110" i="32"/>
  <c r="O110" i="32"/>
  <c r="O121" i="50"/>
  <c r="T121" i="50"/>
  <c r="AA179" i="53"/>
  <c r="AB179" i="53"/>
  <c r="AP117" i="50"/>
  <c r="AJ119" i="50"/>
  <c r="C119" i="50"/>
  <c r="S120" i="50"/>
  <c r="Z120" i="50" s="1"/>
  <c r="AJ109" i="32"/>
  <c r="W109" i="32"/>
  <c r="X109" i="32" s="1"/>
  <c r="C109" i="32"/>
  <c r="W119" i="50"/>
  <c r="X118" i="50"/>
  <c r="V119" i="50"/>
  <c r="V109" i="32"/>
  <c r="AQ11" i="59" a="1"/>
  <c r="AQ11" i="59" s="1"/>
  <c r="Y11" i="59"/>
  <c r="AH11" i="59"/>
  <c r="AF164" i="69"/>
  <c r="Q164" i="69"/>
  <c r="O181" i="57"/>
  <c r="P181" i="57"/>
  <c r="AC162" i="69"/>
  <c r="AD162" i="69" s="1"/>
  <c r="AH118" i="50"/>
  <c r="AI118" i="50" s="1"/>
  <c r="O166" i="69"/>
  <c r="AO165" i="69"/>
  <c r="AK121" i="50"/>
  <c r="AF179" i="53"/>
  <c r="AE180" i="53"/>
  <c r="AK111" i="32"/>
  <c r="AK110" i="32"/>
  <c r="AM120" i="50"/>
  <c r="AL107" i="32"/>
  <c r="AI106" i="32"/>
  <c r="AN106" i="32" s="1"/>
  <c r="R180" i="53"/>
  <c r="X180" i="53" s="1"/>
  <c r="AL118" i="50"/>
  <c r="V14" i="22"/>
  <c r="AY164" i="69"/>
  <c r="L181" i="57"/>
  <c r="AG180" i="53"/>
  <c r="AH180" i="53"/>
  <c r="AT180" i="53"/>
  <c r="N181" i="57"/>
  <c r="AH164" i="69"/>
  <c r="I12" i="50"/>
  <c r="AD180" i="53"/>
  <c r="Q180" i="53"/>
  <c r="I181" i="53"/>
  <c r="C181" i="53"/>
  <c r="AK180" i="52" a="1"/>
  <c r="AK180" i="52" s="1"/>
  <c r="B182" i="53" s="1"/>
  <c r="E181" i="53"/>
  <c r="H181" i="53"/>
  <c r="J181" i="53"/>
  <c r="F181" i="53"/>
  <c r="P181" i="53"/>
  <c r="K181" i="53"/>
  <c r="L181" i="53"/>
  <c r="G181" i="53"/>
  <c r="D181" i="53"/>
  <c r="A111" i="32"/>
  <c r="B111" i="32"/>
  <c r="R111" i="32" s="1"/>
  <c r="A110" i="32"/>
  <c r="B110" i="32"/>
  <c r="R110" i="32" s="1"/>
  <c r="K121" i="50"/>
  <c r="M121" i="50"/>
  <c r="H121" i="50"/>
  <c r="J121" i="50"/>
  <c r="L121" i="50"/>
  <c r="A121" i="50"/>
  <c r="G121" i="50"/>
  <c r="N121" i="50"/>
  <c r="B121" i="50"/>
  <c r="R121" i="50" s="1"/>
  <c r="F121" i="50"/>
  <c r="U121" i="50" s="1"/>
  <c r="I121" i="50"/>
  <c r="G110" i="32"/>
  <c r="H110" i="32"/>
  <c r="J110" i="32"/>
  <c r="L110" i="32"/>
  <c r="F110" i="32"/>
  <c r="U110" i="32" s="1"/>
  <c r="I110" i="32"/>
  <c r="N110" i="32"/>
  <c r="M110" i="32"/>
  <c r="K110" i="32"/>
  <c r="M111" i="32"/>
  <c r="F111" i="32"/>
  <c r="U111" i="32" s="1"/>
  <c r="N111" i="32"/>
  <c r="H111" i="32"/>
  <c r="J111" i="32"/>
  <c r="G111" i="32"/>
  <c r="L111" i="32"/>
  <c r="I111" i="32"/>
  <c r="K111" i="32"/>
  <c r="V70" i="22"/>
  <c r="J181" i="57"/>
  <c r="E181" i="57"/>
  <c r="I181" i="57"/>
  <c r="D181" i="57"/>
  <c r="F181" i="57"/>
  <c r="K181" i="57"/>
  <c r="G181" i="57"/>
  <c r="C181" i="57"/>
  <c r="H181" i="57"/>
  <c r="AN180" i="55" a="1"/>
  <c r="AN180" i="55" s="1"/>
  <c r="B182" i="57" s="1"/>
  <c r="D165" i="69"/>
  <c r="E165" i="69" s="1"/>
  <c r="F165" i="69" s="1"/>
  <c r="G165" i="69" s="1"/>
  <c r="H165" i="69" s="1"/>
  <c r="I165" i="69" s="1"/>
  <c r="J165" i="69" s="1"/>
  <c r="K165" i="69" s="1"/>
  <c r="M165" i="69" s="1"/>
  <c r="C166" i="69"/>
  <c r="P166" i="69" s="1"/>
  <c r="AR166" i="67" a="1"/>
  <c r="AR166" i="67" s="1"/>
  <c r="B167" i="69"/>
  <c r="L167" i="69" s="1"/>
  <c r="R164" i="69"/>
  <c r="S164" i="69" s="1"/>
  <c r="Y164" i="69" s="1"/>
  <c r="AE164" i="69"/>
  <c r="AL111" i="11" a="1"/>
  <c r="AL111" i="11" s="1"/>
  <c r="E112" i="32" s="1"/>
  <c r="AP121" i="59" a="1"/>
  <c r="AP121" i="59" s="1"/>
  <c r="E122" i="50" s="1"/>
  <c r="V128" i="22"/>
  <c r="AW5" i="22"/>
  <c r="X12" i="50"/>
  <c r="X259" i="59" l="1" a="1"/>
  <c r="X259" i="59" s="1"/>
  <c r="V76" i="22"/>
  <c r="Q11" i="59"/>
  <c r="T11" i="59"/>
  <c r="Y259" i="59" a="1"/>
  <c r="Y259" i="59" s="1"/>
  <c r="AG163" i="69"/>
  <c r="AD120" i="50"/>
  <c r="AG120" i="50" s="1"/>
  <c r="X179" i="57"/>
  <c r="AA179" i="57" s="1"/>
  <c r="AG181" i="57"/>
  <c r="AF178" i="57"/>
  <c r="AB178" i="57"/>
  <c r="M182" i="53"/>
  <c r="AC182" i="53" s="1"/>
  <c r="O182" i="53"/>
  <c r="AP166" i="69"/>
  <c r="N166" i="69"/>
  <c r="U166" i="69" s="1"/>
  <c r="R180" i="57"/>
  <c r="Q180" i="57"/>
  <c r="T180" i="57" s="1"/>
  <c r="AQ180" i="57"/>
  <c r="AD180" i="57"/>
  <c r="AJ180" i="57"/>
  <c r="AC180" i="57"/>
  <c r="AE180" i="57"/>
  <c r="M181" i="57"/>
  <c r="AK181" i="57" s="1"/>
  <c r="Q121" i="50"/>
  <c r="P121" i="50" s="1"/>
  <c r="Q110" i="32"/>
  <c r="P110" i="32" s="1"/>
  <c r="Q111" i="32"/>
  <c r="P111" i="32" s="1"/>
  <c r="V78" i="22"/>
  <c r="D63" i="107"/>
  <c r="J63" i="107" s="1"/>
  <c r="L63" i="107" s="1"/>
  <c r="D24" i="107"/>
  <c r="J24" i="107" s="1"/>
  <c r="L24" i="107" s="1"/>
  <c r="D88" i="107"/>
  <c r="J88" i="107" s="1"/>
  <c r="L88" i="107" s="1"/>
  <c r="D49" i="107"/>
  <c r="J49" i="107" s="1"/>
  <c r="L49" i="107" s="1"/>
  <c r="D29" i="107"/>
  <c r="J29" i="107" s="1"/>
  <c r="L29" i="107" s="1"/>
  <c r="D50" i="107"/>
  <c r="J50" i="107" s="1"/>
  <c r="L50" i="107" s="1"/>
  <c r="D11" i="107"/>
  <c r="J11" i="107" s="1"/>
  <c r="L11" i="107" s="1"/>
  <c r="D75" i="107"/>
  <c r="J75" i="107" s="1"/>
  <c r="L75" i="107" s="1"/>
  <c r="D69" i="107"/>
  <c r="J69" i="107" s="1"/>
  <c r="L69" i="107" s="1"/>
  <c r="D20" i="107"/>
  <c r="J20" i="107" s="1"/>
  <c r="L20" i="107" s="1"/>
  <c r="D84" i="107"/>
  <c r="J84" i="107" s="1"/>
  <c r="L84" i="107" s="1"/>
  <c r="D101" i="107"/>
  <c r="J101" i="107" s="1"/>
  <c r="L101" i="107" s="1"/>
  <c r="D71" i="107"/>
  <c r="J71" i="107" s="1"/>
  <c r="L71" i="107" s="1"/>
  <c r="D32" i="107"/>
  <c r="J32" i="107" s="1"/>
  <c r="L32" i="107" s="1"/>
  <c r="D96" i="107"/>
  <c r="J96" i="107" s="1"/>
  <c r="L96" i="107" s="1"/>
  <c r="D57" i="107"/>
  <c r="J57" i="107" s="1"/>
  <c r="L57" i="107" s="1"/>
  <c r="D85" i="107"/>
  <c r="J85" i="107" s="1"/>
  <c r="L85" i="107" s="1"/>
  <c r="D58" i="107"/>
  <c r="J58" i="107" s="1"/>
  <c r="L58" i="107" s="1"/>
  <c r="D19" i="107"/>
  <c r="J19" i="107" s="1"/>
  <c r="L19" i="107" s="1"/>
  <c r="D83" i="107"/>
  <c r="J83" i="107" s="1"/>
  <c r="L83" i="107" s="1"/>
  <c r="D93" i="107"/>
  <c r="J93" i="107" s="1"/>
  <c r="L93" i="107" s="1"/>
  <c r="D28" i="107"/>
  <c r="J28" i="107" s="1"/>
  <c r="L28" i="107" s="1"/>
  <c r="D92" i="107"/>
  <c r="J92" i="107" s="1"/>
  <c r="L92" i="107" s="1"/>
  <c r="D22" i="107"/>
  <c r="J22" i="107" s="1"/>
  <c r="L22" i="107" s="1"/>
  <c r="D15" i="107"/>
  <c r="J15" i="107" s="1"/>
  <c r="L15" i="107" s="1"/>
  <c r="D79" i="107"/>
  <c r="J79" i="107" s="1"/>
  <c r="L79" i="107" s="1"/>
  <c r="D40" i="107"/>
  <c r="J40" i="107" s="1"/>
  <c r="L40" i="107" s="1"/>
  <c r="D104" i="107"/>
  <c r="J104" i="107" s="1"/>
  <c r="L104" i="107" s="1"/>
  <c r="D65" i="107"/>
  <c r="J65" i="107" s="1"/>
  <c r="L65" i="107" s="1"/>
  <c r="D70" i="107"/>
  <c r="J70" i="107" s="1"/>
  <c r="L70" i="107" s="1"/>
  <c r="D66" i="107"/>
  <c r="J66" i="107" s="1"/>
  <c r="L66" i="107" s="1"/>
  <c r="D27" i="107"/>
  <c r="J27" i="107" s="1"/>
  <c r="L27" i="107" s="1"/>
  <c r="D91" i="107"/>
  <c r="J91" i="107" s="1"/>
  <c r="L91" i="107" s="1"/>
  <c r="D14" i="107"/>
  <c r="J14" i="107" s="1"/>
  <c r="L14" i="107" s="1"/>
  <c r="D36" i="107"/>
  <c r="J36" i="107" s="1"/>
  <c r="L36" i="107" s="1"/>
  <c r="D100" i="107"/>
  <c r="J100" i="107" s="1"/>
  <c r="L100" i="107" s="1"/>
  <c r="D30" i="107"/>
  <c r="J30" i="107" s="1"/>
  <c r="L30" i="107" s="1"/>
  <c r="D23" i="107"/>
  <c r="J23" i="107" s="1"/>
  <c r="L23" i="107" s="1"/>
  <c r="D87" i="107"/>
  <c r="J87" i="107" s="1"/>
  <c r="L87" i="107" s="1"/>
  <c r="D48" i="107"/>
  <c r="J48" i="107" s="1"/>
  <c r="L48" i="107" s="1"/>
  <c r="D9" i="107"/>
  <c r="J9" i="107" s="1"/>
  <c r="L9" i="107" s="1"/>
  <c r="D73" i="107"/>
  <c r="J73" i="107" s="1"/>
  <c r="L73" i="107" s="1"/>
  <c r="D10" i="107"/>
  <c r="J10" i="107" s="1"/>
  <c r="L10" i="107" s="1"/>
  <c r="D74" i="107"/>
  <c r="J74" i="107" s="1"/>
  <c r="L74" i="107" s="1"/>
  <c r="D35" i="107"/>
  <c r="J35" i="107" s="1"/>
  <c r="L35" i="107" s="1"/>
  <c r="D99" i="107"/>
  <c r="J99" i="107" s="1"/>
  <c r="L99" i="107" s="1"/>
  <c r="D38" i="107"/>
  <c r="J38" i="107" s="1"/>
  <c r="L38" i="107" s="1"/>
  <c r="D44" i="107"/>
  <c r="J44" i="107" s="1"/>
  <c r="L44" i="107" s="1"/>
  <c r="D7" i="107"/>
  <c r="D46" i="107"/>
  <c r="J46" i="107" s="1"/>
  <c r="L46" i="107" s="1"/>
  <c r="D31" i="107"/>
  <c r="J31" i="107" s="1"/>
  <c r="L31" i="107" s="1"/>
  <c r="D95" i="107"/>
  <c r="J95" i="107" s="1"/>
  <c r="L95" i="107" s="1"/>
  <c r="D56" i="107"/>
  <c r="J56" i="107" s="1"/>
  <c r="L56" i="107" s="1"/>
  <c r="D17" i="107"/>
  <c r="J17" i="107" s="1"/>
  <c r="L17" i="107" s="1"/>
  <c r="D81" i="107"/>
  <c r="J81" i="107" s="1"/>
  <c r="L81" i="107" s="1"/>
  <c r="D18" i="107"/>
  <c r="J18" i="107" s="1"/>
  <c r="L18" i="107" s="1"/>
  <c r="D82" i="107"/>
  <c r="J82" i="107" s="1"/>
  <c r="L82" i="107" s="1"/>
  <c r="D43" i="107"/>
  <c r="J43" i="107" s="1"/>
  <c r="L43" i="107" s="1"/>
  <c r="D107" i="107"/>
  <c r="J107" i="107" s="1"/>
  <c r="L107" i="107" s="1"/>
  <c r="D54" i="107"/>
  <c r="J54" i="107" s="1"/>
  <c r="L54" i="107" s="1"/>
  <c r="D52" i="107"/>
  <c r="J52" i="107" s="1"/>
  <c r="L52" i="107" s="1"/>
  <c r="D21" i="107"/>
  <c r="J21" i="107" s="1"/>
  <c r="L21" i="107" s="1"/>
  <c r="D62" i="107"/>
  <c r="J62" i="107" s="1"/>
  <c r="L62" i="107" s="1"/>
  <c r="D39" i="107"/>
  <c r="J39" i="107" s="1"/>
  <c r="L39" i="107" s="1"/>
  <c r="D103" i="107"/>
  <c r="J103" i="107" s="1"/>
  <c r="L103" i="107" s="1"/>
  <c r="D64" i="107"/>
  <c r="J64" i="107" s="1"/>
  <c r="L64" i="107" s="1"/>
  <c r="D25" i="107"/>
  <c r="J25" i="107" s="1"/>
  <c r="L25" i="107" s="1"/>
  <c r="D89" i="107"/>
  <c r="J89" i="107" s="1"/>
  <c r="L89" i="107" s="1"/>
  <c r="D26" i="107"/>
  <c r="J26" i="107" s="1"/>
  <c r="L26" i="107" s="1"/>
  <c r="D90" i="107"/>
  <c r="J90" i="107" s="1"/>
  <c r="L90" i="107" s="1"/>
  <c r="D51" i="107"/>
  <c r="J51" i="107" s="1"/>
  <c r="L51" i="107" s="1"/>
  <c r="D13" i="107"/>
  <c r="J13" i="107" s="1"/>
  <c r="L13" i="107" s="1"/>
  <c r="D78" i="107"/>
  <c r="J78" i="107" s="1"/>
  <c r="L78" i="107" s="1"/>
  <c r="D60" i="107"/>
  <c r="J60" i="107" s="1"/>
  <c r="L60" i="107" s="1"/>
  <c r="D37" i="107"/>
  <c r="J37" i="107" s="1"/>
  <c r="L37" i="107" s="1"/>
  <c r="D86" i="107"/>
  <c r="J86" i="107" s="1"/>
  <c r="L86" i="107" s="1"/>
  <c r="D47" i="107"/>
  <c r="J47" i="107" s="1"/>
  <c r="L47" i="107" s="1"/>
  <c r="D8" i="107"/>
  <c r="J8" i="107" s="1"/>
  <c r="L8" i="107" s="1"/>
  <c r="D72" i="107"/>
  <c r="J72" i="107" s="1"/>
  <c r="L72" i="107" s="1"/>
  <c r="D33" i="107"/>
  <c r="J33" i="107" s="1"/>
  <c r="L33" i="107" s="1"/>
  <c r="D97" i="107"/>
  <c r="J97" i="107" s="1"/>
  <c r="L97" i="107" s="1"/>
  <c r="D34" i="107"/>
  <c r="J34" i="107" s="1"/>
  <c r="L34" i="107" s="1"/>
  <c r="D98" i="107"/>
  <c r="J98" i="107" s="1"/>
  <c r="L98" i="107" s="1"/>
  <c r="D59" i="107"/>
  <c r="J59" i="107" s="1"/>
  <c r="L59" i="107" s="1"/>
  <c r="D45" i="107"/>
  <c r="J45" i="107" s="1"/>
  <c r="L45" i="107" s="1"/>
  <c r="D94" i="107"/>
  <c r="J94" i="107" s="1"/>
  <c r="L94" i="107" s="1"/>
  <c r="D68" i="107"/>
  <c r="J68" i="107" s="1"/>
  <c r="L68" i="107" s="1"/>
  <c r="D53" i="107"/>
  <c r="J53" i="107" s="1"/>
  <c r="L53" i="107" s="1"/>
  <c r="D102" i="107"/>
  <c r="J102" i="107" s="1"/>
  <c r="L102" i="107" s="1"/>
  <c r="D55" i="107"/>
  <c r="J55" i="107" s="1"/>
  <c r="L55" i="107" s="1"/>
  <c r="D16" i="107"/>
  <c r="J16" i="107" s="1"/>
  <c r="L16" i="107" s="1"/>
  <c r="D80" i="107"/>
  <c r="J80" i="107" s="1"/>
  <c r="L80" i="107" s="1"/>
  <c r="D41" i="107"/>
  <c r="J41" i="107" s="1"/>
  <c r="L41" i="107" s="1"/>
  <c r="D105" i="107"/>
  <c r="J105" i="107" s="1"/>
  <c r="L105" i="107" s="1"/>
  <c r="D42" i="107"/>
  <c r="J42" i="107" s="1"/>
  <c r="L42" i="107" s="1"/>
  <c r="D106" i="107"/>
  <c r="J106" i="107" s="1"/>
  <c r="L106" i="107" s="1"/>
  <c r="D67" i="107"/>
  <c r="J67" i="107" s="1"/>
  <c r="L67" i="107" s="1"/>
  <c r="D61" i="107"/>
  <c r="J61" i="107" s="1"/>
  <c r="L61" i="107" s="1"/>
  <c r="D12" i="107"/>
  <c r="J12" i="107" s="1"/>
  <c r="L12" i="107" s="1"/>
  <c r="D76" i="107"/>
  <c r="J76" i="107" s="1"/>
  <c r="L76" i="107" s="1"/>
  <c r="D77" i="107"/>
  <c r="J77" i="107" s="1"/>
  <c r="L77" i="107" s="1"/>
  <c r="T20" i="22"/>
  <c r="C7" i="107"/>
  <c r="T14" i="22"/>
  <c r="T15" i="22"/>
  <c r="V102" i="22"/>
  <c r="V95" i="22"/>
  <c r="N182" i="53"/>
  <c r="T112" i="32"/>
  <c r="O112" i="32"/>
  <c r="T122" i="50"/>
  <c r="O122" i="50"/>
  <c r="AA180" i="53"/>
  <c r="AB180" i="53"/>
  <c r="AP118" i="50"/>
  <c r="AM110" i="32"/>
  <c r="AM111" i="32"/>
  <c r="C120" i="50"/>
  <c r="AJ120" i="50"/>
  <c r="S121" i="50"/>
  <c r="Z121" i="50" s="1"/>
  <c r="V135" i="22"/>
  <c r="V30" i="22"/>
  <c r="S110" i="32"/>
  <c r="Z110" i="32" s="1"/>
  <c r="S111" i="32"/>
  <c r="Z111" i="32" s="1"/>
  <c r="W120" i="50"/>
  <c r="X119" i="50"/>
  <c r="V120" i="50"/>
  <c r="AF165" i="69"/>
  <c r="Q165" i="69"/>
  <c r="O182" i="57"/>
  <c r="P182" i="57"/>
  <c r="V92" i="22"/>
  <c r="V59" i="22"/>
  <c r="AH119" i="50"/>
  <c r="AI119" i="50" s="1"/>
  <c r="T12" i="50"/>
  <c r="U12" i="50" s="1"/>
  <c r="V10" i="22"/>
  <c r="V28" i="22"/>
  <c r="AB164" i="69"/>
  <c r="AG164" i="69"/>
  <c r="O167" i="69"/>
  <c r="AO166" i="69"/>
  <c r="AK122" i="50"/>
  <c r="AE181" i="53"/>
  <c r="AF180" i="53"/>
  <c r="AK112" i="32"/>
  <c r="AM121" i="50"/>
  <c r="AL108" i="32"/>
  <c r="V63" i="22"/>
  <c r="V6" i="22"/>
  <c r="V9" i="22"/>
  <c r="AI107" i="32"/>
  <c r="AN107" i="32" s="1"/>
  <c r="V35" i="22"/>
  <c r="V18" i="22"/>
  <c r="R181" i="53"/>
  <c r="X181" i="53" s="1"/>
  <c r="AL119" i="50"/>
  <c r="V33" i="22"/>
  <c r="V37" i="22"/>
  <c r="V32" i="22"/>
  <c r="V34" i="22"/>
  <c r="V71" i="22"/>
  <c r="V68" i="22"/>
  <c r="V20" i="22"/>
  <c r="V67" i="22"/>
  <c r="V4" i="22"/>
  <c r="V61" i="22"/>
  <c r="AY165" i="69"/>
  <c r="L182" i="57"/>
  <c r="AH181" i="53"/>
  <c r="AT181" i="53"/>
  <c r="AG181" i="53"/>
  <c r="N182" i="57"/>
  <c r="AH165" i="69"/>
  <c r="AD181" i="53"/>
  <c r="V133" i="22"/>
  <c r="V17" i="22"/>
  <c r="Q181" i="53"/>
  <c r="AK181" i="52" a="1"/>
  <c r="AK181" i="52" s="1"/>
  <c r="B183" i="53" s="1"/>
  <c r="C182" i="53"/>
  <c r="E182" i="53"/>
  <c r="H182" i="53"/>
  <c r="G182" i="53"/>
  <c r="J182" i="53"/>
  <c r="K182" i="53"/>
  <c r="I182" i="53"/>
  <c r="L182" i="53"/>
  <c r="F182" i="53"/>
  <c r="P182" i="53"/>
  <c r="D182" i="53"/>
  <c r="A112" i="32"/>
  <c r="B112" i="32"/>
  <c r="R112" i="32" s="1"/>
  <c r="H122" i="50"/>
  <c r="A122" i="50"/>
  <c r="M122" i="50"/>
  <c r="K122" i="50"/>
  <c r="G122" i="50"/>
  <c r="F122" i="50"/>
  <c r="U122" i="50" s="1"/>
  <c r="N122" i="50"/>
  <c r="B122" i="50"/>
  <c r="R122" i="50" s="1"/>
  <c r="J122" i="50"/>
  <c r="I122" i="50"/>
  <c r="L122" i="50"/>
  <c r="V31" i="22"/>
  <c r="V88" i="22"/>
  <c r="K112" i="32"/>
  <c r="L112" i="32"/>
  <c r="F112" i="32"/>
  <c r="U112" i="32" s="1"/>
  <c r="N112" i="32"/>
  <c r="H112" i="32"/>
  <c r="M112" i="32"/>
  <c r="J112" i="32"/>
  <c r="I112" i="32"/>
  <c r="G112" i="32"/>
  <c r="J182" i="57"/>
  <c r="G182" i="57"/>
  <c r="D182" i="57"/>
  <c r="K182" i="57"/>
  <c r="F182" i="57"/>
  <c r="H182" i="57"/>
  <c r="I182" i="57"/>
  <c r="E182" i="57"/>
  <c r="C182" i="57"/>
  <c r="AN181" i="55" a="1"/>
  <c r="AN181" i="55" s="1"/>
  <c r="B183" i="57" s="1"/>
  <c r="AL33" i="22"/>
  <c r="V121" i="22"/>
  <c r="V7" i="22"/>
  <c r="D166" i="69"/>
  <c r="E166" i="69" s="1"/>
  <c r="F166" i="69" s="1"/>
  <c r="G166" i="69" s="1"/>
  <c r="H166" i="69" s="1"/>
  <c r="I166" i="69" s="1"/>
  <c r="J166" i="69" s="1"/>
  <c r="K166" i="69" s="1"/>
  <c r="M166" i="69" s="1"/>
  <c r="C167" i="69"/>
  <c r="P167" i="69" s="1"/>
  <c r="AR167" i="67" a="1"/>
  <c r="AR167" i="67" s="1"/>
  <c r="B168" i="69"/>
  <c r="L168" i="69" s="1"/>
  <c r="AE165" i="69"/>
  <c r="R165" i="69"/>
  <c r="S165" i="69" s="1"/>
  <c r="Y165" i="69" s="1"/>
  <c r="V15" i="22"/>
  <c r="V29" i="22"/>
  <c r="V8" i="22"/>
  <c r="V13" i="22"/>
  <c r="V19" i="22"/>
  <c r="V22" i="22"/>
  <c r="AL29" i="22"/>
  <c r="AL112" i="11" a="1"/>
  <c r="AL112" i="11" s="1"/>
  <c r="E113" i="32" s="1"/>
  <c r="AP122" i="59" a="1"/>
  <c r="AP122" i="59" s="1"/>
  <c r="E123" i="50" s="1"/>
  <c r="AQ12" i="59" a="1"/>
  <c r="AQ12" i="59" s="1"/>
  <c r="AA11" i="59" l="1"/>
  <c r="AA259" i="59" s="1"/>
  <c r="T76" i="22"/>
  <c r="AL34" i="22" s="1"/>
  <c r="D73" i="36" s="1"/>
  <c r="T102" i="22"/>
  <c r="AL28" i="22" s="1"/>
  <c r="T4" i="22"/>
  <c r="AL21" i="22" s="1"/>
  <c r="D59" i="36" s="1"/>
  <c r="AD111" i="32"/>
  <c r="AG111" i="32" s="1"/>
  <c r="AH111" i="32" s="1"/>
  <c r="AD110" i="32"/>
  <c r="AG110" i="32" s="1"/>
  <c r="AH110" i="32" s="1"/>
  <c r="AD121" i="50"/>
  <c r="AG121" i="50" s="1"/>
  <c r="AD12" i="50"/>
  <c r="AG12" i="50" s="1"/>
  <c r="AH12" i="50" s="1"/>
  <c r="X180" i="57"/>
  <c r="AB180" i="57" s="1"/>
  <c r="AG182" i="57"/>
  <c r="AC181" i="57"/>
  <c r="AD181" i="57"/>
  <c r="R181" i="57"/>
  <c r="AE181" i="57"/>
  <c r="Q181" i="57"/>
  <c r="T181" i="57" s="1"/>
  <c r="AB179" i="57"/>
  <c r="AF179" i="57"/>
  <c r="M183" i="53"/>
  <c r="AC183" i="53" s="1"/>
  <c r="O183" i="53"/>
  <c r="AP167" i="69"/>
  <c r="N167" i="69"/>
  <c r="U167" i="69" s="1"/>
  <c r="AQ181" i="57"/>
  <c r="AJ181" i="57"/>
  <c r="M182" i="57"/>
  <c r="AK182" i="57" s="1"/>
  <c r="Q122" i="50"/>
  <c r="P122" i="50" s="1"/>
  <c r="Q112" i="32"/>
  <c r="P112" i="32" s="1"/>
  <c r="J7" i="107"/>
  <c r="L7" i="107" s="1"/>
  <c r="N183" i="53"/>
  <c r="T113" i="32"/>
  <c r="O113" i="32"/>
  <c r="T123" i="50"/>
  <c r="O123" i="50"/>
  <c r="AA181" i="53"/>
  <c r="AB181" i="53"/>
  <c r="AP119" i="50"/>
  <c r="AM112" i="32"/>
  <c r="C121" i="50"/>
  <c r="AJ121" i="50"/>
  <c r="S122" i="50"/>
  <c r="Z122" i="50" s="1"/>
  <c r="C110" i="32"/>
  <c r="AJ111" i="32"/>
  <c r="W111" i="32"/>
  <c r="X111" i="32" s="1"/>
  <c r="C111" i="32"/>
  <c r="S112" i="32"/>
  <c r="Z112" i="32" s="1"/>
  <c r="AJ110" i="32"/>
  <c r="D71" i="36"/>
  <c r="W121" i="50"/>
  <c r="W110" i="32"/>
  <c r="X110" i="32" s="1"/>
  <c r="X120" i="50"/>
  <c r="V121" i="50"/>
  <c r="V111" i="32"/>
  <c r="AF166" i="69"/>
  <c r="Q166" i="69"/>
  <c r="O183" i="57"/>
  <c r="P183" i="57"/>
  <c r="AC164" i="69"/>
  <c r="AD164" i="69" s="1"/>
  <c r="AH120" i="50"/>
  <c r="AI120" i="50" s="1"/>
  <c r="AB165" i="69"/>
  <c r="AG165" i="69"/>
  <c r="O168" i="69"/>
  <c r="AO167" i="69"/>
  <c r="AK123" i="50"/>
  <c r="AE182" i="53"/>
  <c r="AF181" i="53"/>
  <c r="AK113" i="32"/>
  <c r="AM122" i="50"/>
  <c r="AL109" i="32"/>
  <c r="AI108" i="32"/>
  <c r="AN108" i="32" s="1"/>
  <c r="R182" i="53"/>
  <c r="X182" i="53" s="1"/>
  <c r="AL120" i="50"/>
  <c r="N12" i="50"/>
  <c r="AY166" i="69"/>
  <c r="L183" i="57"/>
  <c r="AG182" i="53"/>
  <c r="AH182" i="53"/>
  <c r="AT182" i="53"/>
  <c r="N183" i="57"/>
  <c r="D183" i="53"/>
  <c r="AH166" i="69"/>
  <c r="V110" i="32"/>
  <c r="Q182" i="53"/>
  <c r="AD182" i="53"/>
  <c r="C183" i="53"/>
  <c r="L183" i="53"/>
  <c r="F183" i="53"/>
  <c r="P183" i="53"/>
  <c r="I183" i="53"/>
  <c r="K183" i="53"/>
  <c r="E183" i="53"/>
  <c r="AK182" i="52" a="1"/>
  <c r="AK182" i="52" s="1"/>
  <c r="B184" i="53" s="1"/>
  <c r="G183" i="53"/>
  <c r="J183" i="53"/>
  <c r="H183" i="53"/>
  <c r="A113" i="32"/>
  <c r="B113" i="32"/>
  <c r="R113" i="32" s="1"/>
  <c r="B123" i="50"/>
  <c r="R123" i="50" s="1"/>
  <c r="G123" i="50"/>
  <c r="A123" i="50"/>
  <c r="N123" i="50"/>
  <c r="H123" i="50"/>
  <c r="K123" i="50"/>
  <c r="M123" i="50"/>
  <c r="I123" i="50"/>
  <c r="J123" i="50"/>
  <c r="F123" i="50"/>
  <c r="U123" i="50" s="1"/>
  <c r="L123" i="50"/>
  <c r="I113" i="32"/>
  <c r="J113" i="32"/>
  <c r="L113" i="32"/>
  <c r="F113" i="32"/>
  <c r="U113" i="32" s="1"/>
  <c r="N113" i="32"/>
  <c r="H113" i="32"/>
  <c r="K113" i="32"/>
  <c r="G113" i="32"/>
  <c r="M113" i="32"/>
  <c r="I183" i="57"/>
  <c r="F183" i="57"/>
  <c r="D183" i="57"/>
  <c r="K183" i="57"/>
  <c r="G183" i="57"/>
  <c r="E183" i="57"/>
  <c r="H183" i="57"/>
  <c r="C183" i="57"/>
  <c r="J183" i="57"/>
  <c r="AN182" i="55" a="1"/>
  <c r="AN182" i="55" s="1"/>
  <c r="B184" i="57" s="1"/>
  <c r="C168" i="69"/>
  <c r="P168" i="69" s="1"/>
  <c r="AR168" i="67" a="1"/>
  <c r="AR168" i="67" s="1"/>
  <c r="B169" i="69"/>
  <c r="L169" i="69" s="1"/>
  <c r="D167" i="69"/>
  <c r="E167" i="69" s="1"/>
  <c r="F167" i="69" s="1"/>
  <c r="G167" i="69" s="1"/>
  <c r="H167" i="69" s="1"/>
  <c r="I167" i="69" s="1"/>
  <c r="J167" i="69" s="1"/>
  <c r="K167" i="69" s="1"/>
  <c r="M167" i="69" s="1"/>
  <c r="AE166" i="69"/>
  <c r="R166" i="69"/>
  <c r="S166" i="69" s="1"/>
  <c r="Y166" i="69" s="1"/>
  <c r="AL24" i="22"/>
  <c r="AL23" i="22"/>
  <c r="AL27" i="22"/>
  <c r="AL22" i="22"/>
  <c r="AL26" i="22"/>
  <c r="AL25" i="22"/>
  <c r="AL113" i="11" a="1"/>
  <c r="AL113" i="11" s="1"/>
  <c r="E114" i="32" s="1"/>
  <c r="AP123" i="59" a="1"/>
  <c r="AP123" i="59" s="1"/>
  <c r="E124" i="50" s="1"/>
  <c r="AQ13" i="59" a="1"/>
  <c r="AQ13" i="59" s="1"/>
  <c r="AU11" i="59" l="1"/>
  <c r="AU259" i="59" s="1"/>
  <c r="AD112" i="32"/>
  <c r="AG112" i="32" s="1"/>
  <c r="AH112" i="32" s="1"/>
  <c r="AD122" i="50"/>
  <c r="AG122" i="50" s="1"/>
  <c r="X181" i="57"/>
  <c r="AF181" i="57" s="1"/>
  <c r="AG183" i="57"/>
  <c r="AE182" i="57"/>
  <c r="Q182" i="57"/>
  <c r="T182" i="57" s="1"/>
  <c r="AJ182" i="57"/>
  <c r="M184" i="53"/>
  <c r="AC184" i="53" s="1"/>
  <c r="O184" i="53"/>
  <c r="AP168" i="69"/>
  <c r="N168" i="69"/>
  <c r="U168" i="69" s="1"/>
  <c r="AD182" i="57"/>
  <c r="AQ182" i="57"/>
  <c r="AC182" i="57"/>
  <c r="AF180" i="57"/>
  <c r="AA180" i="57"/>
  <c r="R182" i="57"/>
  <c r="M183" i="57"/>
  <c r="AK183" i="57" s="1"/>
  <c r="Q123" i="50"/>
  <c r="P123" i="50" s="1"/>
  <c r="Q113" i="32"/>
  <c r="P113" i="32" s="1"/>
  <c r="N184" i="53"/>
  <c r="T114" i="32"/>
  <c r="O114" i="32"/>
  <c r="T124" i="50"/>
  <c r="O124" i="50"/>
  <c r="AA182" i="53"/>
  <c r="AB182" i="53"/>
  <c r="AP120" i="50"/>
  <c r="AM113" i="32"/>
  <c r="AJ122" i="50"/>
  <c r="C122" i="50"/>
  <c r="S123" i="50"/>
  <c r="Z123" i="50" s="1"/>
  <c r="C112" i="32"/>
  <c r="W112" i="32"/>
  <c r="X112" i="32" s="1"/>
  <c r="S113" i="32"/>
  <c r="Z113" i="32" s="1"/>
  <c r="AJ112" i="32"/>
  <c r="W122" i="50"/>
  <c r="X121" i="50"/>
  <c r="V122" i="50"/>
  <c r="V112" i="32"/>
  <c r="AF167" i="69"/>
  <c r="Q167" i="69"/>
  <c r="O184" i="57"/>
  <c r="P184" i="57"/>
  <c r="AC165" i="69"/>
  <c r="AD165" i="69" s="1"/>
  <c r="AH121" i="50"/>
  <c r="AI121" i="50" s="1"/>
  <c r="AI12" i="50"/>
  <c r="AK12" i="50"/>
  <c r="AL12" i="50" s="1"/>
  <c r="AM12" i="50" s="1"/>
  <c r="AB166" i="69"/>
  <c r="AG166" i="69"/>
  <c r="O169" i="69"/>
  <c r="AO168" i="69"/>
  <c r="AK124" i="50"/>
  <c r="AF182" i="53"/>
  <c r="AE183" i="53"/>
  <c r="AK114" i="32"/>
  <c r="AM123" i="50"/>
  <c r="AL111" i="32"/>
  <c r="R183" i="53"/>
  <c r="X183" i="53" s="1"/>
  <c r="AL121" i="50"/>
  <c r="AI109" i="32"/>
  <c r="AN109" i="32" s="1"/>
  <c r="AY167" i="69"/>
  <c r="L184" i="57"/>
  <c r="AH183" i="53"/>
  <c r="AT183" i="53"/>
  <c r="AG183" i="53"/>
  <c r="N184" i="57"/>
  <c r="AH167" i="69"/>
  <c r="AD183" i="53"/>
  <c r="Q183" i="53"/>
  <c r="P184" i="53"/>
  <c r="C184" i="53"/>
  <c r="D184" i="53"/>
  <c r="F184" i="53"/>
  <c r="I184" i="53"/>
  <c r="L184" i="53"/>
  <c r="E184" i="53"/>
  <c r="AK183" i="52" a="1"/>
  <c r="AK183" i="52" s="1"/>
  <c r="B185" i="53" s="1"/>
  <c r="G184" i="53"/>
  <c r="J184" i="53"/>
  <c r="H184" i="53"/>
  <c r="K184" i="53"/>
  <c r="A114" i="32"/>
  <c r="B114" i="32"/>
  <c r="R114" i="32" s="1"/>
  <c r="F124" i="50"/>
  <c r="U124" i="50" s="1"/>
  <c r="N124" i="50"/>
  <c r="A124" i="50"/>
  <c r="I124" i="50"/>
  <c r="K124" i="50"/>
  <c r="H124" i="50"/>
  <c r="M124" i="50"/>
  <c r="L124" i="50"/>
  <c r="J124" i="50"/>
  <c r="B124" i="50"/>
  <c r="R124" i="50" s="1"/>
  <c r="G124" i="50"/>
  <c r="G114" i="32"/>
  <c r="H114" i="32"/>
  <c r="J114" i="32"/>
  <c r="L114" i="32"/>
  <c r="I114" i="32"/>
  <c r="N114" i="32"/>
  <c r="F114" i="32"/>
  <c r="U114" i="32" s="1"/>
  <c r="K114" i="32"/>
  <c r="M114" i="32"/>
  <c r="K184" i="57"/>
  <c r="J184" i="57"/>
  <c r="H184" i="57"/>
  <c r="F184" i="57"/>
  <c r="C184" i="57"/>
  <c r="D184" i="57"/>
  <c r="E184" i="57"/>
  <c r="G184" i="57"/>
  <c r="I184" i="57"/>
  <c r="AN183" i="55" a="1"/>
  <c r="AN183" i="55" s="1"/>
  <c r="B185" i="57" s="1"/>
  <c r="AE167" i="69"/>
  <c r="R167" i="69"/>
  <c r="S167" i="69" s="1"/>
  <c r="Y167" i="69" s="1"/>
  <c r="C169" i="69"/>
  <c r="P169" i="69" s="1"/>
  <c r="AR169" i="67" a="1"/>
  <c r="AR169" i="67" s="1"/>
  <c r="B170" i="69"/>
  <c r="L170" i="69" s="1"/>
  <c r="D168" i="69"/>
  <c r="E168" i="69" s="1"/>
  <c r="F168" i="69" s="1"/>
  <c r="G168" i="69" s="1"/>
  <c r="H168" i="69" s="1"/>
  <c r="I168" i="69" s="1"/>
  <c r="J168" i="69" s="1"/>
  <c r="K168" i="69" s="1"/>
  <c r="M168" i="69" s="1"/>
  <c r="AL114" i="11" a="1"/>
  <c r="AL114" i="11" s="1"/>
  <c r="E115" i="32" s="1"/>
  <c r="AP124" i="59" a="1"/>
  <c r="AP124" i="59" s="1"/>
  <c r="E125" i="50" s="1"/>
  <c r="AQ14" i="59" a="1"/>
  <c r="AQ14" i="59" s="1"/>
  <c r="M11" i="46"/>
  <c r="I11" i="46"/>
  <c r="R11" i="46" s="1"/>
  <c r="V11" i="46" s="1"/>
  <c r="W11" i="46" s="1"/>
  <c r="AD113" i="32" l="1"/>
  <c r="AG113" i="32" s="1"/>
  <c r="AH113" i="32" s="1"/>
  <c r="AD123" i="50"/>
  <c r="AG123" i="50" s="1"/>
  <c r="X182" i="57"/>
  <c r="AB182" i="57" s="1"/>
  <c r="AG184" i="57"/>
  <c r="AB181" i="57"/>
  <c r="AA181" i="57"/>
  <c r="M185" i="53"/>
  <c r="AC185" i="53" s="1"/>
  <c r="O185" i="53"/>
  <c r="AP169" i="69"/>
  <c r="N169" i="69"/>
  <c r="U169" i="69" s="1"/>
  <c r="Q183" i="57"/>
  <c r="T183" i="57" s="1"/>
  <c r="AC183" i="57"/>
  <c r="AQ183" i="57"/>
  <c r="AJ183" i="57"/>
  <c r="AD183" i="57"/>
  <c r="AE183" i="57"/>
  <c r="R183" i="57"/>
  <c r="M184" i="57"/>
  <c r="AK184" i="57" s="1"/>
  <c r="Q124" i="50"/>
  <c r="P124" i="50" s="1"/>
  <c r="Q114" i="32"/>
  <c r="P114" i="32" s="1"/>
  <c r="AQ12" i="50"/>
  <c r="N185" i="53"/>
  <c r="T115" i="32"/>
  <c r="O115" i="32"/>
  <c r="T125" i="50"/>
  <c r="O125" i="50"/>
  <c r="AA183" i="53"/>
  <c r="AB183" i="53"/>
  <c r="AP121" i="50"/>
  <c r="AM114" i="32"/>
  <c r="C123" i="50"/>
  <c r="AJ123" i="50"/>
  <c r="S124" i="50"/>
  <c r="Z124" i="50" s="1"/>
  <c r="C113" i="32"/>
  <c r="AJ113" i="32"/>
  <c r="S114" i="32"/>
  <c r="Z114" i="32" s="1"/>
  <c r="W123" i="50"/>
  <c r="W113" i="32"/>
  <c r="X113" i="32" s="1"/>
  <c r="AP12" i="50"/>
  <c r="X122" i="50"/>
  <c r="V123" i="50"/>
  <c r="AF168" i="69"/>
  <c r="Q168" i="69"/>
  <c r="O185" i="57"/>
  <c r="P185" i="57"/>
  <c r="AC166" i="69"/>
  <c r="AD166" i="69" s="1"/>
  <c r="AH122" i="50"/>
  <c r="AI122" i="50" s="1"/>
  <c r="AB167" i="69"/>
  <c r="AG167" i="69"/>
  <c r="AO169" i="69"/>
  <c r="O170" i="69"/>
  <c r="S11" i="46"/>
  <c r="T11" i="46" s="1"/>
  <c r="X11" i="46"/>
  <c r="AK125" i="50"/>
  <c r="AE184" i="53"/>
  <c r="AF183" i="53"/>
  <c r="AK115" i="32"/>
  <c r="AM124" i="50"/>
  <c r="AL110" i="32"/>
  <c r="AL112" i="32"/>
  <c r="AI111" i="32"/>
  <c r="AN111" i="32" s="1"/>
  <c r="AL13" i="50"/>
  <c r="AM13" i="50" s="1"/>
  <c r="R184" i="53"/>
  <c r="X184" i="53" s="1"/>
  <c r="AL122" i="50"/>
  <c r="V113" i="32"/>
  <c r="AY168" i="69"/>
  <c r="L185" i="57"/>
  <c r="AH184" i="53"/>
  <c r="AT184" i="53"/>
  <c r="AG184" i="53"/>
  <c r="N185" i="57"/>
  <c r="AH168" i="69"/>
  <c r="Q184" i="53"/>
  <c r="AD184" i="53"/>
  <c r="AK184" i="52" a="1"/>
  <c r="AK184" i="52" s="1"/>
  <c r="B186" i="53" s="1"/>
  <c r="G185" i="53"/>
  <c r="E185" i="53"/>
  <c r="C185" i="53"/>
  <c r="K185" i="53"/>
  <c r="P185" i="53"/>
  <c r="J185" i="53"/>
  <c r="F185" i="53"/>
  <c r="L185" i="53"/>
  <c r="I185" i="53"/>
  <c r="D185" i="53"/>
  <c r="H185" i="53"/>
  <c r="A115" i="32"/>
  <c r="B115" i="32"/>
  <c r="R115" i="32" s="1"/>
  <c r="H125" i="50"/>
  <c r="F125" i="50"/>
  <c r="U125" i="50" s="1"/>
  <c r="G125" i="50"/>
  <c r="M125" i="50"/>
  <c r="B125" i="50"/>
  <c r="R125" i="50" s="1"/>
  <c r="L125" i="50"/>
  <c r="K125" i="50"/>
  <c r="J125" i="50"/>
  <c r="N125" i="50"/>
  <c r="I125" i="50"/>
  <c r="A125" i="50"/>
  <c r="M115" i="32"/>
  <c r="F115" i="32"/>
  <c r="U115" i="32" s="1"/>
  <c r="N115" i="32"/>
  <c r="H115" i="32"/>
  <c r="J115" i="32"/>
  <c r="G115" i="32"/>
  <c r="L115" i="32"/>
  <c r="K115" i="32"/>
  <c r="I115" i="32"/>
  <c r="E185" i="57"/>
  <c r="H185" i="57"/>
  <c r="J185" i="57"/>
  <c r="K185" i="57"/>
  <c r="G185" i="57"/>
  <c r="C185" i="57"/>
  <c r="F185" i="57"/>
  <c r="I185" i="57"/>
  <c r="D185" i="57"/>
  <c r="L133" i="22"/>
  <c r="AN184" i="55" a="1"/>
  <c r="AN184" i="55" s="1"/>
  <c r="B186" i="57" s="1"/>
  <c r="C170" i="69"/>
  <c r="P170" i="69" s="1"/>
  <c r="AR170" i="67" a="1"/>
  <c r="AR170" i="67" s="1"/>
  <c r="B171" i="69"/>
  <c r="L171" i="69" s="1"/>
  <c r="D169" i="69"/>
  <c r="E169" i="69" s="1"/>
  <c r="F169" i="69" s="1"/>
  <c r="G169" i="69" s="1"/>
  <c r="H169" i="69" s="1"/>
  <c r="I169" i="69" s="1"/>
  <c r="J169" i="69" s="1"/>
  <c r="K169" i="69" s="1"/>
  <c r="M169" i="69" s="1"/>
  <c r="AE168" i="69"/>
  <c r="R168" i="69"/>
  <c r="S168" i="69" s="1"/>
  <c r="Y168" i="69" s="1"/>
  <c r="AL115" i="11" a="1"/>
  <c r="AL115" i="11" s="1"/>
  <c r="E116" i="32" s="1"/>
  <c r="AP125" i="59" a="1"/>
  <c r="AP125" i="59" s="1"/>
  <c r="E126" i="50" s="1"/>
  <c r="AQ15" i="59" a="1"/>
  <c r="AQ15" i="59" s="1"/>
  <c r="AD114" i="32" l="1"/>
  <c r="AG114" i="32" s="1"/>
  <c r="AH114" i="32" s="1"/>
  <c r="AD124" i="50"/>
  <c r="AG124" i="50" s="1"/>
  <c r="X183" i="57"/>
  <c r="AB183" i="57" s="1"/>
  <c r="AG185" i="57"/>
  <c r="AA182" i="57"/>
  <c r="AF182" i="57"/>
  <c r="M186" i="53"/>
  <c r="AC186" i="53" s="1"/>
  <c r="O186" i="53"/>
  <c r="AP170" i="69"/>
  <c r="N170" i="69"/>
  <c r="U170" i="69" s="1"/>
  <c r="R184" i="57"/>
  <c r="AQ184" i="57"/>
  <c r="Q184" i="57"/>
  <c r="T184" i="57" s="1"/>
  <c r="AJ184" i="57"/>
  <c r="AD184" i="57"/>
  <c r="AC184" i="57"/>
  <c r="AE184" i="57"/>
  <c r="M185" i="57"/>
  <c r="AK185" i="57" s="1"/>
  <c r="Q125" i="50"/>
  <c r="P125" i="50" s="1"/>
  <c r="Q115" i="32"/>
  <c r="P115" i="32" s="1"/>
  <c r="N186" i="53"/>
  <c r="T116" i="32"/>
  <c r="O116" i="32"/>
  <c r="T126" i="50"/>
  <c r="O126" i="50"/>
  <c r="AA184" i="53"/>
  <c r="AB184" i="53"/>
  <c r="AP122" i="50"/>
  <c r="AP13" i="50"/>
  <c r="AM115" i="32"/>
  <c r="AJ124" i="50"/>
  <c r="C124" i="50"/>
  <c r="S125" i="50"/>
  <c r="Z125" i="50" s="1"/>
  <c r="AJ114" i="32"/>
  <c r="W114" i="32"/>
  <c r="X114" i="32" s="1"/>
  <c r="C114" i="32"/>
  <c r="S115" i="32"/>
  <c r="AD115" i="32" s="1"/>
  <c r="W124" i="50"/>
  <c r="X123" i="50"/>
  <c r="V124" i="50"/>
  <c r="V114" i="32"/>
  <c r="AF169" i="69"/>
  <c r="Q169" i="69"/>
  <c r="O186" i="57"/>
  <c r="P186" i="57"/>
  <c r="AC167" i="69"/>
  <c r="AD167" i="69" s="1"/>
  <c r="AH123" i="50"/>
  <c r="AI123" i="50" s="1"/>
  <c r="AB168" i="69"/>
  <c r="AG168" i="69"/>
  <c r="AO170" i="69"/>
  <c r="O171" i="69"/>
  <c r="AK126" i="50"/>
  <c r="AF184" i="53"/>
  <c r="AE185" i="53"/>
  <c r="AK116" i="32"/>
  <c r="AM125" i="50"/>
  <c r="AL113" i="32"/>
  <c r="Y11" i="46"/>
  <c r="AI112" i="32"/>
  <c r="AN112" i="32" s="1"/>
  <c r="R185" i="53"/>
  <c r="X185" i="53" s="1"/>
  <c r="AL123" i="50"/>
  <c r="AI110" i="32"/>
  <c r="AN110" i="32" s="1"/>
  <c r="N2" i="46"/>
  <c r="AY169" i="69"/>
  <c r="L186" i="57"/>
  <c r="AH185" i="53"/>
  <c r="AT185" i="53"/>
  <c r="AG185" i="53"/>
  <c r="N186" i="57"/>
  <c r="E186" i="53"/>
  <c r="AH169" i="69"/>
  <c r="Q185" i="53"/>
  <c r="AD185" i="53"/>
  <c r="D186" i="53"/>
  <c r="I186" i="53"/>
  <c r="L186" i="53"/>
  <c r="P186" i="53"/>
  <c r="K186" i="53"/>
  <c r="H186" i="53"/>
  <c r="C186" i="53"/>
  <c r="J186" i="53"/>
  <c r="AK185" i="52" a="1"/>
  <c r="AK185" i="52" s="1"/>
  <c r="B187" i="53" s="1"/>
  <c r="G186" i="53"/>
  <c r="F186" i="53"/>
  <c r="A116" i="32"/>
  <c r="B116" i="32"/>
  <c r="R116" i="32" s="1"/>
  <c r="F126" i="50"/>
  <c r="U126" i="50" s="1"/>
  <c r="N126" i="50"/>
  <c r="M126" i="50"/>
  <c r="L126" i="50"/>
  <c r="G126" i="50"/>
  <c r="A126" i="50"/>
  <c r="I126" i="50"/>
  <c r="K126" i="50"/>
  <c r="B126" i="50"/>
  <c r="R126" i="50" s="1"/>
  <c r="J126" i="50"/>
  <c r="H126" i="50"/>
  <c r="K116" i="32"/>
  <c r="L116" i="32"/>
  <c r="F116" i="32"/>
  <c r="U116" i="32" s="1"/>
  <c r="N116" i="32"/>
  <c r="H116" i="32"/>
  <c r="J116" i="32"/>
  <c r="M116" i="32"/>
  <c r="G116" i="32"/>
  <c r="I116" i="32"/>
  <c r="J186" i="57"/>
  <c r="D186" i="57"/>
  <c r="C186" i="57"/>
  <c r="K186" i="57"/>
  <c r="F186" i="57"/>
  <c r="I186" i="57"/>
  <c r="E186" i="57"/>
  <c r="H186" i="57"/>
  <c r="G186" i="57"/>
  <c r="AN185" i="55" a="1"/>
  <c r="AN185" i="55" s="1"/>
  <c r="B187" i="57" s="1"/>
  <c r="AE169" i="69"/>
  <c r="R169" i="69"/>
  <c r="S169" i="69" s="1"/>
  <c r="Y169" i="69" s="1"/>
  <c r="C171" i="69"/>
  <c r="P171" i="69" s="1"/>
  <c r="AR171" i="67" a="1"/>
  <c r="AR171" i="67" s="1"/>
  <c r="B172" i="69"/>
  <c r="L172" i="69" s="1"/>
  <c r="D170" i="69"/>
  <c r="E170" i="69" s="1"/>
  <c r="F170" i="69" s="1"/>
  <c r="G170" i="69" s="1"/>
  <c r="H170" i="69" s="1"/>
  <c r="I170" i="69" s="1"/>
  <c r="J170" i="69" s="1"/>
  <c r="K170" i="69" s="1"/>
  <c r="M170" i="69" s="1"/>
  <c r="AL116" i="11" a="1"/>
  <c r="AL116" i="11" s="1"/>
  <c r="E117" i="32" s="1"/>
  <c r="AP126" i="59" a="1"/>
  <c r="AP126" i="59" s="1"/>
  <c r="E127" i="50" s="1"/>
  <c r="AQ16" i="59" a="1"/>
  <c r="AQ16" i="59" s="1"/>
  <c r="AD125" i="50" l="1"/>
  <c r="AG125" i="50" s="1"/>
  <c r="X184" i="57"/>
  <c r="AB184" i="57" s="1"/>
  <c r="AG186" i="57"/>
  <c r="Q185" i="57"/>
  <c r="T185" i="57" s="1"/>
  <c r="AE185" i="57"/>
  <c r="M187" i="53"/>
  <c r="AC187" i="53" s="1"/>
  <c r="O187" i="53"/>
  <c r="AP171" i="69"/>
  <c r="N171" i="69"/>
  <c r="U171" i="69" s="1"/>
  <c r="AA183" i="57"/>
  <c r="R185" i="57"/>
  <c r="AF183" i="57"/>
  <c r="AQ185" i="57"/>
  <c r="AD185" i="57"/>
  <c r="AJ185" i="57"/>
  <c r="AC185" i="57"/>
  <c r="M186" i="57"/>
  <c r="AK186" i="57" s="1"/>
  <c r="Q126" i="50"/>
  <c r="P126" i="50" s="1"/>
  <c r="Q116" i="32"/>
  <c r="P116" i="32" s="1"/>
  <c r="L55" i="22"/>
  <c r="L134" i="22"/>
  <c r="N187" i="53"/>
  <c r="T117" i="32"/>
  <c r="O117" i="32"/>
  <c r="T127" i="50"/>
  <c r="O127" i="50"/>
  <c r="AA185" i="53"/>
  <c r="AB185" i="53"/>
  <c r="AP123" i="50"/>
  <c r="C115" i="32"/>
  <c r="Z115" i="32"/>
  <c r="AM116" i="32"/>
  <c r="C125" i="50"/>
  <c r="AJ125" i="50"/>
  <c r="S126" i="50"/>
  <c r="Z126" i="50" s="1"/>
  <c r="L135" i="22"/>
  <c r="L80" i="22"/>
  <c r="S116" i="32"/>
  <c r="Z116" i="32" s="1"/>
  <c r="AJ115" i="32"/>
  <c r="W125" i="50"/>
  <c r="W115" i="32"/>
  <c r="X115" i="32" s="1"/>
  <c r="L132" i="22"/>
  <c r="L118" i="22"/>
  <c r="X124" i="50"/>
  <c r="V125" i="50"/>
  <c r="AF170" i="69"/>
  <c r="Q170" i="69"/>
  <c r="O187" i="57"/>
  <c r="P187" i="57"/>
  <c r="AC168" i="69"/>
  <c r="AD168" i="69" s="1"/>
  <c r="AH124" i="50"/>
  <c r="AI124" i="50" s="1"/>
  <c r="AB169" i="69"/>
  <c r="AG169" i="69"/>
  <c r="O172" i="69"/>
  <c r="AO171" i="69"/>
  <c r="AK127" i="50"/>
  <c r="AE186" i="53"/>
  <c r="AF185" i="53"/>
  <c r="AK117" i="32"/>
  <c r="AG115" i="32"/>
  <c r="AH115" i="32" s="1"/>
  <c r="AM126" i="50"/>
  <c r="AL114" i="32"/>
  <c r="AI113" i="32"/>
  <c r="AN113" i="32" s="1"/>
  <c r="R186" i="53"/>
  <c r="X186" i="53" s="1"/>
  <c r="AL124" i="50"/>
  <c r="V115" i="32"/>
  <c r="Y257" i="46"/>
  <c r="L104" i="22"/>
  <c r="AY170" i="69"/>
  <c r="L187" i="57"/>
  <c r="AG186" i="53"/>
  <c r="AH186" i="53"/>
  <c r="AT186" i="53"/>
  <c r="N187" i="57"/>
  <c r="I187" i="53"/>
  <c r="AH170" i="69"/>
  <c r="Q186" i="53"/>
  <c r="AD186" i="53"/>
  <c r="AK186" i="52" a="1"/>
  <c r="AK186" i="52" s="1"/>
  <c r="B188" i="53" s="1"/>
  <c r="E187" i="53"/>
  <c r="C187" i="53"/>
  <c r="F187" i="53"/>
  <c r="P187" i="53"/>
  <c r="H187" i="53"/>
  <c r="G187" i="53"/>
  <c r="J187" i="53"/>
  <c r="L187" i="53"/>
  <c r="K187" i="53"/>
  <c r="D187" i="53"/>
  <c r="A117" i="32"/>
  <c r="B117" i="32"/>
  <c r="R117" i="32" s="1"/>
  <c r="J127" i="50"/>
  <c r="F127" i="50"/>
  <c r="U127" i="50" s="1"/>
  <c r="G127" i="50"/>
  <c r="M127" i="50"/>
  <c r="A127" i="50"/>
  <c r="N127" i="50"/>
  <c r="H127" i="50"/>
  <c r="B127" i="50"/>
  <c r="R127" i="50" s="1"/>
  <c r="I127" i="50"/>
  <c r="L127" i="50"/>
  <c r="K127" i="50"/>
  <c r="I117" i="32"/>
  <c r="J117" i="32"/>
  <c r="L117" i="32"/>
  <c r="F117" i="32"/>
  <c r="U117" i="32" s="1"/>
  <c r="N117" i="32"/>
  <c r="K117" i="32"/>
  <c r="H117" i="32"/>
  <c r="M117" i="32"/>
  <c r="G117" i="32"/>
  <c r="J187" i="57"/>
  <c r="I187" i="57"/>
  <c r="F187" i="57"/>
  <c r="E187" i="57"/>
  <c r="D187" i="57"/>
  <c r="K187" i="57"/>
  <c r="C187" i="57"/>
  <c r="G187" i="57"/>
  <c r="H187" i="57"/>
  <c r="AN186" i="55" a="1"/>
  <c r="AN186" i="55" s="1"/>
  <c r="B188" i="57" s="1"/>
  <c r="R170" i="69"/>
  <c r="S170" i="69" s="1"/>
  <c r="Y170" i="69" s="1"/>
  <c r="AE170" i="69"/>
  <c r="C172" i="69"/>
  <c r="P172" i="69" s="1"/>
  <c r="AR172" i="67" a="1"/>
  <c r="AR172" i="67" s="1"/>
  <c r="B173" i="69"/>
  <c r="L173" i="69" s="1"/>
  <c r="D171" i="69"/>
  <c r="E171" i="69" s="1"/>
  <c r="F171" i="69" s="1"/>
  <c r="G171" i="69" s="1"/>
  <c r="H171" i="69" s="1"/>
  <c r="I171" i="69" s="1"/>
  <c r="J171" i="69" s="1"/>
  <c r="K171" i="69" s="1"/>
  <c r="M171" i="69" s="1"/>
  <c r="AL117" i="11" a="1"/>
  <c r="AL117" i="11" s="1"/>
  <c r="E118" i="32" s="1"/>
  <c r="AP127" i="59" a="1"/>
  <c r="AP127" i="59" s="1"/>
  <c r="E128" i="50" s="1"/>
  <c r="AQ17" i="59" a="1"/>
  <c r="AQ17" i="59" s="1"/>
  <c r="X185" i="57" l="1"/>
  <c r="AB185" i="57" s="1"/>
  <c r="AD116" i="32"/>
  <c r="AG116" i="32" s="1"/>
  <c r="AH116" i="32" s="1"/>
  <c r="AD126" i="50"/>
  <c r="AG126" i="50" s="1"/>
  <c r="AG187" i="57"/>
  <c r="AA184" i="57"/>
  <c r="AF184" i="57"/>
  <c r="M188" i="53"/>
  <c r="AC188" i="53" s="1"/>
  <c r="O188" i="53"/>
  <c r="AP172" i="69"/>
  <c r="N172" i="69"/>
  <c r="U172" i="69" s="1"/>
  <c r="AC186" i="57"/>
  <c r="AE186" i="57"/>
  <c r="Q186" i="57"/>
  <c r="T186" i="57" s="1"/>
  <c r="AQ186" i="57"/>
  <c r="AD186" i="57"/>
  <c r="AJ186" i="57"/>
  <c r="R186" i="57"/>
  <c r="M187" i="57"/>
  <c r="AK187" i="57" s="1"/>
  <c r="Q127" i="50"/>
  <c r="P127" i="50" s="1"/>
  <c r="Q117" i="32"/>
  <c r="P117" i="32" s="1"/>
  <c r="N188" i="53"/>
  <c r="T118" i="32"/>
  <c r="O118" i="32"/>
  <c r="T128" i="50"/>
  <c r="O128" i="50"/>
  <c r="AA186" i="53"/>
  <c r="AB186" i="53"/>
  <c r="AP124" i="50"/>
  <c r="AM117" i="32"/>
  <c r="AJ126" i="50"/>
  <c r="C126" i="50"/>
  <c r="S127" i="50"/>
  <c r="Z127" i="50" s="1"/>
  <c r="C116" i="32"/>
  <c r="W116" i="32"/>
  <c r="X116" i="32" s="1"/>
  <c r="AJ116" i="32"/>
  <c r="S117" i="32"/>
  <c r="Z117" i="32" s="1"/>
  <c r="W126" i="50"/>
  <c r="X125" i="50"/>
  <c r="V126" i="50"/>
  <c r="V116" i="32"/>
  <c r="AF171" i="69"/>
  <c r="Q171" i="69"/>
  <c r="O188" i="57"/>
  <c r="P188" i="57"/>
  <c r="AC169" i="69"/>
  <c r="AD169" i="69" s="1"/>
  <c r="AH125" i="50"/>
  <c r="AI125" i="50" s="1"/>
  <c r="AB170" i="69"/>
  <c r="AG170" i="69"/>
  <c r="O173" i="69"/>
  <c r="AO172" i="69"/>
  <c r="AK128" i="50"/>
  <c r="AF186" i="53"/>
  <c r="AE187" i="53"/>
  <c r="AK118" i="32"/>
  <c r="AM127" i="50"/>
  <c r="AL115" i="32"/>
  <c r="AI114" i="32"/>
  <c r="AN114" i="32" s="1"/>
  <c r="R187" i="53"/>
  <c r="X187" i="53" s="1"/>
  <c r="AL125" i="50"/>
  <c r="AY171" i="69"/>
  <c r="L188" i="57"/>
  <c r="AG187" i="53"/>
  <c r="AH187" i="53"/>
  <c r="AT187" i="53"/>
  <c r="N188" i="57"/>
  <c r="C188" i="53"/>
  <c r="AH171" i="69"/>
  <c r="AD187" i="53"/>
  <c r="J188" i="53"/>
  <c r="D188" i="53"/>
  <c r="H188" i="53"/>
  <c r="G188" i="53"/>
  <c r="E188" i="53"/>
  <c r="F188" i="53"/>
  <c r="L188" i="53"/>
  <c r="P188" i="53"/>
  <c r="Q187" i="53"/>
  <c r="AK187" i="52" a="1"/>
  <c r="AK187" i="52" s="1"/>
  <c r="B189" i="53" s="1"/>
  <c r="K188" i="53"/>
  <c r="I188" i="53"/>
  <c r="A118" i="32"/>
  <c r="B118" i="32"/>
  <c r="R118" i="32" s="1"/>
  <c r="N128" i="50"/>
  <c r="J128" i="50"/>
  <c r="F128" i="50"/>
  <c r="U128" i="50" s="1"/>
  <c r="I128" i="50"/>
  <c r="H128" i="50"/>
  <c r="M128" i="50"/>
  <c r="K128" i="50"/>
  <c r="B128" i="50"/>
  <c r="R128" i="50" s="1"/>
  <c r="L128" i="50"/>
  <c r="G128" i="50"/>
  <c r="A128" i="50"/>
  <c r="G118" i="32"/>
  <c r="H118" i="32"/>
  <c r="J118" i="32"/>
  <c r="L118" i="32"/>
  <c r="F118" i="32"/>
  <c r="U118" i="32" s="1"/>
  <c r="I118" i="32"/>
  <c r="N118" i="32"/>
  <c r="M118" i="32"/>
  <c r="K118" i="32"/>
  <c r="K188" i="57"/>
  <c r="H188" i="57"/>
  <c r="F188" i="57"/>
  <c r="C188" i="57"/>
  <c r="E188" i="57"/>
  <c r="D188" i="57"/>
  <c r="G188" i="57"/>
  <c r="J188" i="57"/>
  <c r="I188" i="57"/>
  <c r="AN187" i="55" a="1"/>
  <c r="AN187" i="55" s="1"/>
  <c r="B189" i="57" s="1"/>
  <c r="C173" i="69"/>
  <c r="P173" i="69" s="1"/>
  <c r="AR173" i="67" a="1"/>
  <c r="AR173" i="67" s="1"/>
  <c r="B174" i="69"/>
  <c r="L174" i="69" s="1"/>
  <c r="R171" i="69"/>
  <c r="S171" i="69" s="1"/>
  <c r="Y171" i="69" s="1"/>
  <c r="AE171" i="69"/>
  <c r="D172" i="69"/>
  <c r="E172" i="69" s="1"/>
  <c r="F172" i="69" s="1"/>
  <c r="G172" i="69" s="1"/>
  <c r="H172" i="69" s="1"/>
  <c r="I172" i="69" s="1"/>
  <c r="J172" i="69" s="1"/>
  <c r="K172" i="69" s="1"/>
  <c r="M172" i="69" s="1"/>
  <c r="AL118" i="11" a="1"/>
  <c r="AL118" i="11" s="1"/>
  <c r="E119" i="32" s="1"/>
  <c r="AP128" i="59" a="1"/>
  <c r="AP128" i="59" s="1"/>
  <c r="E129" i="50" s="1"/>
  <c r="AQ18" i="59" a="1"/>
  <c r="AQ18" i="59" s="1"/>
  <c r="AF185" i="57" l="1"/>
  <c r="AD117" i="32"/>
  <c r="AG117" i="32" s="1"/>
  <c r="AH117" i="32" s="1"/>
  <c r="AD127" i="50"/>
  <c r="AG127" i="50" s="1"/>
  <c r="AG188" i="57"/>
  <c r="X186" i="57"/>
  <c r="AA186" i="57" s="1"/>
  <c r="AA185" i="57"/>
  <c r="M189" i="53"/>
  <c r="AC189" i="53" s="1"/>
  <c r="O189" i="53"/>
  <c r="AP173" i="69"/>
  <c r="N173" i="69"/>
  <c r="U173" i="69" s="1"/>
  <c r="AE187" i="57"/>
  <c r="Q187" i="57"/>
  <c r="T187" i="57" s="1"/>
  <c r="AJ187" i="57"/>
  <c r="AD187" i="57"/>
  <c r="R187" i="57"/>
  <c r="AQ187" i="57"/>
  <c r="AC187" i="57"/>
  <c r="M188" i="57"/>
  <c r="AK188" i="57" s="1"/>
  <c r="Q128" i="50"/>
  <c r="P128" i="50" s="1"/>
  <c r="Q118" i="32"/>
  <c r="P118" i="32" s="1"/>
  <c r="N189" i="53"/>
  <c r="T119" i="32"/>
  <c r="O119" i="32"/>
  <c r="O129" i="50"/>
  <c r="T129" i="50"/>
  <c r="AA187" i="53"/>
  <c r="AB187" i="53"/>
  <c r="AP125" i="50"/>
  <c r="AM118" i="32"/>
  <c r="C127" i="50"/>
  <c r="AJ127" i="50"/>
  <c r="S128" i="50"/>
  <c r="Z128" i="50" s="1"/>
  <c r="W117" i="32"/>
  <c r="X117" i="32" s="1"/>
  <c r="C117" i="32"/>
  <c r="AJ117" i="32"/>
  <c r="S118" i="32"/>
  <c r="AD118" i="32" s="1"/>
  <c r="W127" i="50"/>
  <c r="X126" i="50"/>
  <c r="V127" i="50"/>
  <c r="V117" i="32"/>
  <c r="AF172" i="69"/>
  <c r="Q172" i="69"/>
  <c r="O189" i="57"/>
  <c r="P189" i="57"/>
  <c r="AC170" i="69"/>
  <c r="AD170" i="69" s="1"/>
  <c r="AH126" i="50"/>
  <c r="AI126" i="50" s="1"/>
  <c r="AB171" i="69"/>
  <c r="AG171" i="69"/>
  <c r="AO173" i="69"/>
  <c r="O174" i="69"/>
  <c r="AK129" i="50"/>
  <c r="AE188" i="53"/>
  <c r="AF187" i="53"/>
  <c r="AK119" i="32"/>
  <c r="AM128" i="50"/>
  <c r="AL116" i="32"/>
  <c r="AI115" i="32"/>
  <c r="AN115" i="32" s="1"/>
  <c r="R188" i="53"/>
  <c r="X188" i="53" s="1"/>
  <c r="AL126" i="50"/>
  <c r="AY172" i="69"/>
  <c r="L189" i="57"/>
  <c r="AH188" i="53"/>
  <c r="AT188" i="53"/>
  <c r="AG188" i="53"/>
  <c r="N189" i="57"/>
  <c r="AH172" i="69"/>
  <c r="AD188" i="53"/>
  <c r="Q188" i="53"/>
  <c r="AK188" i="52" a="1"/>
  <c r="AK188" i="52" s="1"/>
  <c r="B190" i="53" s="1"/>
  <c r="P189" i="53"/>
  <c r="J189" i="53"/>
  <c r="I189" i="53"/>
  <c r="E189" i="53"/>
  <c r="H189" i="53"/>
  <c r="F189" i="53"/>
  <c r="K189" i="53"/>
  <c r="G189" i="53"/>
  <c r="L189" i="53"/>
  <c r="D189" i="53"/>
  <c r="C189" i="53"/>
  <c r="A119" i="32"/>
  <c r="B119" i="32"/>
  <c r="R119" i="32" s="1"/>
  <c r="K129" i="50"/>
  <c r="L129" i="50"/>
  <c r="J129" i="50"/>
  <c r="M129" i="50"/>
  <c r="I129" i="50"/>
  <c r="A129" i="50"/>
  <c r="G129" i="50"/>
  <c r="N129" i="50"/>
  <c r="B129" i="50"/>
  <c r="R129" i="50" s="1"/>
  <c r="H129" i="50"/>
  <c r="F129" i="50"/>
  <c r="U129" i="50" s="1"/>
  <c r="M119" i="32"/>
  <c r="F119" i="32"/>
  <c r="U119" i="32" s="1"/>
  <c r="N119" i="32"/>
  <c r="H119" i="32"/>
  <c r="J119" i="32"/>
  <c r="G119" i="32"/>
  <c r="L119" i="32"/>
  <c r="I119" i="32"/>
  <c r="K119" i="32"/>
  <c r="J189" i="57"/>
  <c r="E189" i="57"/>
  <c r="C189" i="57"/>
  <c r="I189" i="57"/>
  <c r="D189" i="57"/>
  <c r="F189" i="57"/>
  <c r="K189" i="57"/>
  <c r="G189" i="57"/>
  <c r="H189" i="57"/>
  <c r="AN188" i="55" a="1"/>
  <c r="AN188" i="55" s="1"/>
  <c r="B190" i="57" s="1"/>
  <c r="AR174" i="67" a="1"/>
  <c r="AR174" i="67" s="1"/>
  <c r="B175" i="69"/>
  <c r="L175" i="69" s="1"/>
  <c r="C174" i="69"/>
  <c r="P174" i="69" s="1"/>
  <c r="AE172" i="69"/>
  <c r="R172" i="69"/>
  <c r="S172" i="69" s="1"/>
  <c r="Y172" i="69" s="1"/>
  <c r="D173" i="69"/>
  <c r="E173" i="69" s="1"/>
  <c r="F173" i="69" s="1"/>
  <c r="G173" i="69" s="1"/>
  <c r="H173" i="69" s="1"/>
  <c r="I173" i="69" s="1"/>
  <c r="J173" i="69" s="1"/>
  <c r="K173" i="69" s="1"/>
  <c r="M173" i="69" s="1"/>
  <c r="AL119" i="11" a="1"/>
  <c r="AL119" i="11" s="1"/>
  <c r="E120" i="32" s="1"/>
  <c r="AP129" i="59" a="1"/>
  <c r="AP129" i="59" s="1"/>
  <c r="E130" i="50" s="1"/>
  <c r="AQ19" i="59" a="1"/>
  <c r="AQ19" i="59" s="1"/>
  <c r="L12" i="32"/>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D128" i="50" l="1"/>
  <c r="AG128" i="50" s="1"/>
  <c r="X187" i="57"/>
  <c r="AA187" i="57" s="1"/>
  <c r="AG189" i="57"/>
  <c r="M190" i="53"/>
  <c r="AC190" i="53" s="1"/>
  <c r="O190" i="53"/>
  <c r="AP174" i="69"/>
  <c r="N174" i="69"/>
  <c r="U174" i="69" s="1"/>
  <c r="AF186" i="57"/>
  <c r="AB186" i="57"/>
  <c r="R188" i="57"/>
  <c r="AC188" i="57"/>
  <c r="Q188" i="57"/>
  <c r="T188" i="57" s="1"/>
  <c r="AQ188" i="57"/>
  <c r="AD188" i="57"/>
  <c r="AJ188" i="57"/>
  <c r="AE188" i="57"/>
  <c r="M189" i="57"/>
  <c r="AK189" i="57" s="1"/>
  <c r="Q129" i="50"/>
  <c r="P129" i="50" s="1"/>
  <c r="Q119" i="32"/>
  <c r="P119" i="32" s="1"/>
  <c r="N190" i="53"/>
  <c r="T120" i="32"/>
  <c r="O120" i="32"/>
  <c r="T130" i="50"/>
  <c r="O130" i="50"/>
  <c r="AA188" i="53"/>
  <c r="AB188" i="53"/>
  <c r="AP126" i="50"/>
  <c r="C118" i="32"/>
  <c r="Z118" i="32"/>
  <c r="AM119" i="32"/>
  <c r="C128" i="50"/>
  <c r="AJ128" i="50"/>
  <c r="S129" i="50"/>
  <c r="Z129" i="50" s="1"/>
  <c r="S119" i="32"/>
  <c r="Z119" i="32" s="1"/>
  <c r="AJ118" i="32"/>
  <c r="W128" i="50"/>
  <c r="W118" i="32"/>
  <c r="X118" i="32" s="1"/>
  <c r="X127" i="50"/>
  <c r="V128" i="50"/>
  <c r="AF173" i="69"/>
  <c r="Q173" i="69"/>
  <c r="O190" i="57"/>
  <c r="P190" i="57"/>
  <c r="AC171" i="69"/>
  <c r="AD171" i="69" s="1"/>
  <c r="AH127" i="50"/>
  <c r="AI127" i="50" s="1"/>
  <c r="AB172" i="69"/>
  <c r="AG172" i="69"/>
  <c r="AO174" i="69"/>
  <c r="O175" i="69"/>
  <c r="AK130" i="50"/>
  <c r="AE189" i="53"/>
  <c r="AF188" i="53"/>
  <c r="AK120" i="32"/>
  <c r="AG118" i="32"/>
  <c r="AH118" i="32" s="1"/>
  <c r="AM129" i="50"/>
  <c r="AL117" i="32"/>
  <c r="R189" i="53"/>
  <c r="X189" i="53" s="1"/>
  <c r="AL127" i="50"/>
  <c r="V118" i="32"/>
  <c r="AI116" i="32"/>
  <c r="AN116" i="32" s="1"/>
  <c r="AY173" i="69"/>
  <c r="L190" i="57"/>
  <c r="AG189" i="53"/>
  <c r="AH189" i="53"/>
  <c r="AT189" i="53"/>
  <c r="N190" i="57"/>
  <c r="Q189" i="53"/>
  <c r="AD189" i="53"/>
  <c r="AH173" i="69"/>
  <c r="AK189" i="52" a="1"/>
  <c r="AK189" i="52" s="1"/>
  <c r="B191" i="53" s="1"/>
  <c r="G190" i="53"/>
  <c r="F190" i="53"/>
  <c r="C190" i="53"/>
  <c r="L190" i="53"/>
  <c r="P190" i="53"/>
  <c r="J190" i="53"/>
  <c r="D190" i="53"/>
  <c r="H190" i="53"/>
  <c r="I190" i="53"/>
  <c r="K190" i="53"/>
  <c r="E190" i="53"/>
  <c r="A120" i="32"/>
  <c r="B120" i="32"/>
  <c r="R120" i="32" s="1"/>
  <c r="G130" i="50"/>
  <c r="F130" i="50"/>
  <c r="U130" i="50" s="1"/>
  <c r="H130" i="50"/>
  <c r="L130" i="50"/>
  <c r="K130" i="50"/>
  <c r="B130" i="50"/>
  <c r="R130" i="50" s="1"/>
  <c r="J130" i="50"/>
  <c r="I130" i="50"/>
  <c r="M130" i="50"/>
  <c r="N130" i="50"/>
  <c r="A130" i="50"/>
  <c r="K120" i="32"/>
  <c r="L120" i="32"/>
  <c r="F120" i="32"/>
  <c r="U120" i="32" s="1"/>
  <c r="N120" i="32"/>
  <c r="H120" i="32"/>
  <c r="M120" i="32"/>
  <c r="J120" i="32"/>
  <c r="I120" i="32"/>
  <c r="G120" i="32"/>
  <c r="J190" i="57"/>
  <c r="G190" i="57"/>
  <c r="D190" i="57"/>
  <c r="K190" i="57"/>
  <c r="F190" i="57"/>
  <c r="H190" i="57"/>
  <c r="I190" i="57"/>
  <c r="C190" i="57"/>
  <c r="E190" i="57"/>
  <c r="AN189" i="55" a="1"/>
  <c r="AN189" i="55" s="1"/>
  <c r="B191" i="57" s="1"/>
  <c r="C175" i="69"/>
  <c r="P175" i="69" s="1"/>
  <c r="AE173" i="69"/>
  <c r="R173" i="69"/>
  <c r="S173" i="69" s="1"/>
  <c r="Y173" i="69" s="1"/>
  <c r="D174" i="69"/>
  <c r="E174" i="69" s="1"/>
  <c r="F174" i="69" s="1"/>
  <c r="G174" i="69" s="1"/>
  <c r="H174" i="69" s="1"/>
  <c r="I174" i="69" s="1"/>
  <c r="J174" i="69" s="1"/>
  <c r="K174" i="69" s="1"/>
  <c r="M174" i="69" s="1"/>
  <c r="AR175" i="67" a="1"/>
  <c r="AR175" i="67" s="1"/>
  <c r="B176" i="69"/>
  <c r="L176" i="69" s="1"/>
  <c r="AL120" i="11" a="1"/>
  <c r="AL120" i="11" s="1"/>
  <c r="E121" i="32" s="1"/>
  <c r="AP130" i="59" a="1"/>
  <c r="AP130" i="59" s="1"/>
  <c r="E131" i="50" s="1"/>
  <c r="AQ20" i="59" a="1"/>
  <c r="AQ20" i="59" s="1"/>
  <c r="X188" i="57" l="1"/>
  <c r="AB188" i="57" s="1"/>
  <c r="AD119" i="32"/>
  <c r="AG119" i="32" s="1"/>
  <c r="AH119" i="32" s="1"/>
  <c r="AD129" i="50"/>
  <c r="AG129" i="50" s="1"/>
  <c r="AG190" i="57"/>
  <c r="M191" i="53"/>
  <c r="AC191" i="53" s="1"/>
  <c r="O191" i="53"/>
  <c r="AP175" i="69"/>
  <c r="N175" i="69"/>
  <c r="U175" i="69" s="1"/>
  <c r="AF187" i="57"/>
  <c r="AB187" i="57"/>
  <c r="Q189" i="57"/>
  <c r="T189" i="57" s="1"/>
  <c r="AQ189" i="57"/>
  <c r="AJ189" i="57"/>
  <c r="AC189" i="57"/>
  <c r="AD189" i="57"/>
  <c r="R189" i="57"/>
  <c r="AE189" i="57"/>
  <c r="M190" i="57"/>
  <c r="AK190" i="57" s="1"/>
  <c r="Q130" i="50"/>
  <c r="P130" i="50" s="1"/>
  <c r="Q120" i="32"/>
  <c r="P120" i="32" s="1"/>
  <c r="N191" i="53"/>
  <c r="T121" i="32"/>
  <c r="O121" i="32"/>
  <c r="T131" i="50"/>
  <c r="O131" i="50"/>
  <c r="AA189" i="53"/>
  <c r="AB189" i="53"/>
  <c r="AP127" i="50"/>
  <c r="AM120" i="32"/>
  <c r="AJ129" i="50"/>
  <c r="C129" i="50"/>
  <c r="S130" i="50"/>
  <c r="Z130" i="50" s="1"/>
  <c r="W119" i="32"/>
  <c r="X119" i="32" s="1"/>
  <c r="C119" i="32"/>
  <c r="AJ119" i="32"/>
  <c r="S120" i="32"/>
  <c r="Z120" i="32" s="1"/>
  <c r="W129" i="50"/>
  <c r="X128" i="50"/>
  <c r="V129" i="50"/>
  <c r="V119" i="32"/>
  <c r="AF174" i="69"/>
  <c r="Q174" i="69"/>
  <c r="O191" i="57"/>
  <c r="P191" i="57"/>
  <c r="AC172" i="69"/>
  <c r="AD172" i="69" s="1"/>
  <c r="AH128" i="50"/>
  <c r="AI128" i="50" s="1"/>
  <c r="AB173" i="69"/>
  <c r="AG173" i="69"/>
  <c r="O176" i="69"/>
  <c r="AO175" i="69"/>
  <c r="AK131" i="50"/>
  <c r="AF189" i="53"/>
  <c r="AE190" i="53"/>
  <c r="AK121" i="32"/>
  <c r="AM130" i="50"/>
  <c r="AL118" i="32"/>
  <c r="AI117" i="32"/>
  <c r="AN117" i="32" s="1"/>
  <c r="R190" i="53"/>
  <c r="X190" i="53" s="1"/>
  <c r="AL128" i="50"/>
  <c r="AY174" i="69"/>
  <c r="L191" i="57"/>
  <c r="AH190" i="53"/>
  <c r="AT190" i="53"/>
  <c r="AG190" i="53"/>
  <c r="N191" i="57"/>
  <c r="AH174" i="69"/>
  <c r="AD190" i="53"/>
  <c r="Q190" i="53"/>
  <c r="AK190" i="52" a="1"/>
  <c r="AK190" i="52" s="1"/>
  <c r="B192" i="53" s="1"/>
  <c r="E191" i="53"/>
  <c r="D191" i="53"/>
  <c r="G191" i="53"/>
  <c r="C191" i="53"/>
  <c r="F191" i="53"/>
  <c r="I191" i="53"/>
  <c r="H191" i="53"/>
  <c r="J191" i="53"/>
  <c r="L191" i="53"/>
  <c r="P191" i="53"/>
  <c r="K191" i="53"/>
  <c r="A121" i="32"/>
  <c r="B121" i="32"/>
  <c r="R121" i="32" s="1"/>
  <c r="B131" i="50"/>
  <c r="R131" i="50" s="1"/>
  <c r="A131" i="50"/>
  <c r="K131" i="50"/>
  <c r="G131" i="50"/>
  <c r="H131" i="50"/>
  <c r="M131" i="50"/>
  <c r="N131" i="50"/>
  <c r="I131" i="50"/>
  <c r="J131" i="50"/>
  <c r="L131" i="50"/>
  <c r="F131" i="50"/>
  <c r="U131" i="50" s="1"/>
  <c r="I121" i="32"/>
  <c r="J121" i="32"/>
  <c r="L121" i="32"/>
  <c r="F121" i="32"/>
  <c r="U121" i="32" s="1"/>
  <c r="N121" i="32"/>
  <c r="H121" i="32"/>
  <c r="K121" i="32"/>
  <c r="G121" i="32"/>
  <c r="M121" i="32"/>
  <c r="D191" i="57"/>
  <c r="F191" i="57"/>
  <c r="I191" i="57"/>
  <c r="E191" i="57"/>
  <c r="K191" i="57"/>
  <c r="J191" i="57"/>
  <c r="C191" i="57"/>
  <c r="G191" i="57"/>
  <c r="H191" i="57"/>
  <c r="AN190" i="55" a="1"/>
  <c r="AN190" i="55" s="1"/>
  <c r="B192" i="57" s="1"/>
  <c r="AR176" i="67" a="1"/>
  <c r="AR176" i="67" s="1"/>
  <c r="B177" i="69"/>
  <c r="L177" i="69" s="1"/>
  <c r="D175" i="69"/>
  <c r="E175" i="69" s="1"/>
  <c r="F175" i="69" s="1"/>
  <c r="G175" i="69" s="1"/>
  <c r="H175" i="69" s="1"/>
  <c r="I175" i="69" s="1"/>
  <c r="J175" i="69" s="1"/>
  <c r="K175" i="69" s="1"/>
  <c r="M175" i="69" s="1"/>
  <c r="C176" i="69"/>
  <c r="P176" i="69" s="1"/>
  <c r="R174" i="69"/>
  <c r="S174" i="69" s="1"/>
  <c r="Y174" i="69" s="1"/>
  <c r="AE174" i="69"/>
  <c r="AL121" i="11" a="1"/>
  <c r="AL121" i="11" s="1"/>
  <c r="AP131" i="59" a="1"/>
  <c r="AP131" i="59" s="1"/>
  <c r="E132" i="50" s="1"/>
  <c r="AQ21" i="59" a="1"/>
  <c r="AQ21" i="59" s="1"/>
  <c r="AE190" i="57" l="1"/>
  <c r="AD120" i="32"/>
  <c r="AG120" i="32" s="1"/>
  <c r="AH120" i="32" s="1"/>
  <c r="AD130" i="50"/>
  <c r="AG130" i="50" s="1"/>
  <c r="X189" i="57"/>
  <c r="AB189" i="57" s="1"/>
  <c r="AG191" i="57"/>
  <c r="M192" i="53"/>
  <c r="AC192" i="53" s="1"/>
  <c r="O192" i="53"/>
  <c r="AP176" i="69"/>
  <c r="N176" i="69"/>
  <c r="U176" i="69" s="1"/>
  <c r="AF188" i="57"/>
  <c r="AA188" i="57"/>
  <c r="AD190" i="57"/>
  <c r="AJ190" i="57"/>
  <c r="AQ190" i="57"/>
  <c r="Q190" i="57"/>
  <c r="T190" i="57" s="1"/>
  <c r="AC190" i="57"/>
  <c r="R190" i="57"/>
  <c r="M191" i="57"/>
  <c r="AK191" i="57" s="1"/>
  <c r="Q131" i="50"/>
  <c r="P131" i="50" s="1"/>
  <c r="Q121" i="32"/>
  <c r="P121" i="32" s="1"/>
  <c r="N192" i="53"/>
  <c r="T132" i="50"/>
  <c r="O132" i="50"/>
  <c r="AA190" i="53"/>
  <c r="AB190" i="53"/>
  <c r="AP128" i="50"/>
  <c r="AM121" i="32"/>
  <c r="C130" i="50"/>
  <c r="AJ130" i="50"/>
  <c r="S131" i="50"/>
  <c r="Z131" i="50" s="1"/>
  <c r="C120" i="32"/>
  <c r="AJ120" i="32"/>
  <c r="W120" i="32"/>
  <c r="X120" i="32" s="1"/>
  <c r="S121" i="32"/>
  <c r="Z121" i="32" s="1"/>
  <c r="W130" i="50"/>
  <c r="X129" i="50"/>
  <c r="V130" i="50"/>
  <c r="V120" i="32"/>
  <c r="AF175" i="69"/>
  <c r="Q175" i="69"/>
  <c r="O192" i="57"/>
  <c r="P192" i="57"/>
  <c r="AC173" i="69"/>
  <c r="AD173" i="69" s="1"/>
  <c r="AH129" i="50"/>
  <c r="AI129" i="50" s="1"/>
  <c r="AB174" i="69"/>
  <c r="AG174" i="69"/>
  <c r="O177" i="69"/>
  <c r="AO176" i="69"/>
  <c r="AK132" i="50"/>
  <c r="AE191" i="53"/>
  <c r="AF190" i="53"/>
  <c r="AM131" i="50"/>
  <c r="AL119" i="32"/>
  <c r="AI118" i="32"/>
  <c r="AN118" i="32" s="1"/>
  <c r="R191" i="53"/>
  <c r="X191" i="53" s="1"/>
  <c r="AL129" i="50"/>
  <c r="AY175" i="69"/>
  <c r="L192" i="57"/>
  <c r="AH191" i="53"/>
  <c r="AT191" i="53"/>
  <c r="AG191" i="53"/>
  <c r="N192" i="57"/>
  <c r="P192" i="53"/>
  <c r="AH175" i="69"/>
  <c r="AD191" i="53"/>
  <c r="M12" i="32"/>
  <c r="J192" i="53"/>
  <c r="G192" i="53"/>
  <c r="H192" i="53"/>
  <c r="K192" i="53"/>
  <c r="L192" i="53"/>
  <c r="Q191" i="53"/>
  <c r="I192" i="53"/>
  <c r="C192" i="53"/>
  <c r="D192" i="53"/>
  <c r="AK191" i="52" a="1"/>
  <c r="AK191" i="52" s="1"/>
  <c r="B193" i="53" s="1"/>
  <c r="F192" i="53"/>
  <c r="E192" i="53"/>
  <c r="K132" i="50"/>
  <c r="I132" i="50"/>
  <c r="L132" i="50"/>
  <c r="A132" i="50"/>
  <c r="J132" i="50"/>
  <c r="N132" i="50"/>
  <c r="B132" i="50"/>
  <c r="R132" i="50" s="1"/>
  <c r="M132" i="50"/>
  <c r="F132" i="50"/>
  <c r="U132" i="50" s="1"/>
  <c r="G132" i="50"/>
  <c r="H132" i="50"/>
  <c r="K192" i="57"/>
  <c r="J192" i="57"/>
  <c r="H192" i="57"/>
  <c r="F192" i="57"/>
  <c r="D192" i="57"/>
  <c r="C192" i="57"/>
  <c r="G192" i="57"/>
  <c r="I192" i="57"/>
  <c r="E192" i="57"/>
  <c r="E122" i="32"/>
  <c r="AN191" i="55" a="1"/>
  <c r="AN191" i="55" s="1"/>
  <c r="B193" i="57" s="1"/>
  <c r="AR177" i="67" a="1"/>
  <c r="AR177" i="67" s="1"/>
  <c r="B178" i="69"/>
  <c r="L178" i="69" s="1"/>
  <c r="D176" i="69"/>
  <c r="E176" i="69" s="1"/>
  <c r="F176" i="69" s="1"/>
  <c r="G176" i="69" s="1"/>
  <c r="H176" i="69" s="1"/>
  <c r="I176" i="69" s="1"/>
  <c r="J176" i="69" s="1"/>
  <c r="K176" i="69" s="1"/>
  <c r="M176" i="69" s="1"/>
  <c r="C177" i="69"/>
  <c r="P177" i="69" s="1"/>
  <c r="AE175" i="69"/>
  <c r="R175" i="69"/>
  <c r="S175" i="69" s="1"/>
  <c r="Y175" i="69" s="1"/>
  <c r="AL122" i="11" a="1"/>
  <c r="AL122" i="11" s="1"/>
  <c r="E123" i="32" s="1"/>
  <c r="AP132" i="59" a="1"/>
  <c r="AP132" i="59" s="1"/>
  <c r="E133" i="50" s="1"/>
  <c r="AQ22" i="59" a="1"/>
  <c r="AQ22" i="59" s="1"/>
  <c r="AD121" i="32" l="1"/>
  <c r="AG121" i="32" s="1"/>
  <c r="AH121" i="32" s="1"/>
  <c r="AD131" i="50"/>
  <c r="AG131" i="50" s="1"/>
  <c r="X190" i="57"/>
  <c r="AB190" i="57" s="1"/>
  <c r="AG192" i="57"/>
  <c r="Q191" i="57"/>
  <c r="T191" i="57" s="1"/>
  <c r="AQ191" i="57"/>
  <c r="AD191" i="57"/>
  <c r="AJ191" i="57"/>
  <c r="AF189" i="57"/>
  <c r="AA189" i="57"/>
  <c r="AC191" i="57"/>
  <c r="R191" i="57"/>
  <c r="M193" i="53"/>
  <c r="AC193" i="53" s="1"/>
  <c r="O193" i="53"/>
  <c r="AP177" i="69"/>
  <c r="N177" i="69"/>
  <c r="U177" i="69" s="1"/>
  <c r="AE191" i="57"/>
  <c r="M192" i="57"/>
  <c r="AK192" i="57" s="1"/>
  <c r="Q132" i="50"/>
  <c r="P132" i="50" s="1"/>
  <c r="N193" i="53"/>
  <c r="T123" i="32"/>
  <c r="O123" i="32"/>
  <c r="T122" i="32"/>
  <c r="O122" i="32"/>
  <c r="T133" i="50"/>
  <c r="O133" i="50"/>
  <c r="AA191" i="53"/>
  <c r="AB191" i="53"/>
  <c r="AP129" i="50"/>
  <c r="C131" i="50"/>
  <c r="AJ131" i="50"/>
  <c r="S132" i="50"/>
  <c r="Z132" i="50" s="1"/>
  <c r="C121" i="32"/>
  <c r="AJ121" i="32"/>
  <c r="W121" i="32"/>
  <c r="X121" i="32" s="1"/>
  <c r="W131" i="50"/>
  <c r="X130" i="50"/>
  <c r="V131" i="50"/>
  <c r="V121" i="32"/>
  <c r="AF176" i="69"/>
  <c r="Q176" i="69"/>
  <c r="O193" i="57"/>
  <c r="P193" i="57"/>
  <c r="AC174" i="69"/>
  <c r="AD174" i="69" s="1"/>
  <c r="AH130" i="50"/>
  <c r="AI130" i="50" s="1"/>
  <c r="AB175" i="69"/>
  <c r="AG175" i="69"/>
  <c r="AO177" i="69"/>
  <c r="O178" i="69"/>
  <c r="AK133" i="50"/>
  <c r="AE192" i="53"/>
  <c r="AF191" i="53"/>
  <c r="AK123" i="32"/>
  <c r="AK122" i="32"/>
  <c r="AM132" i="50"/>
  <c r="AL120" i="32"/>
  <c r="R192" i="53"/>
  <c r="X192" i="53" s="1"/>
  <c r="AL130" i="50"/>
  <c r="AI119" i="32"/>
  <c r="AN119" i="32" s="1"/>
  <c r="AY176" i="69"/>
  <c r="L193" i="57"/>
  <c r="AH192" i="53"/>
  <c r="AT192" i="53"/>
  <c r="AG192" i="53"/>
  <c r="N193" i="57"/>
  <c r="K193" i="53"/>
  <c r="AH176" i="69"/>
  <c r="AD192" i="53"/>
  <c r="Q192" i="53"/>
  <c r="AK192" i="52" a="1"/>
  <c r="AK192" i="52" s="1"/>
  <c r="B194" i="53" s="1"/>
  <c r="J193" i="53"/>
  <c r="D193" i="53"/>
  <c r="I193" i="53"/>
  <c r="C193" i="53"/>
  <c r="P193" i="53"/>
  <c r="E193" i="53"/>
  <c r="F193" i="53"/>
  <c r="H193" i="53"/>
  <c r="G193" i="53"/>
  <c r="L193" i="53"/>
  <c r="A123" i="32"/>
  <c r="B123" i="32"/>
  <c r="R123" i="32" s="1"/>
  <c r="A122" i="32"/>
  <c r="B122" i="32"/>
  <c r="R122" i="32" s="1"/>
  <c r="M133" i="50"/>
  <c r="F133" i="50"/>
  <c r="U133" i="50" s="1"/>
  <c r="H133" i="50"/>
  <c r="G133" i="50"/>
  <c r="I133" i="50"/>
  <c r="L133" i="50"/>
  <c r="N133" i="50"/>
  <c r="A133" i="50"/>
  <c r="J133" i="50"/>
  <c r="K133" i="50"/>
  <c r="B133" i="50"/>
  <c r="R133" i="50" s="1"/>
  <c r="M123" i="32"/>
  <c r="F123" i="32"/>
  <c r="U123" i="32" s="1"/>
  <c r="N123" i="32"/>
  <c r="H123" i="32"/>
  <c r="J123" i="32"/>
  <c r="G123" i="32"/>
  <c r="L123" i="32"/>
  <c r="K123" i="32"/>
  <c r="I123" i="32"/>
  <c r="G122" i="32"/>
  <c r="H122" i="32"/>
  <c r="J122" i="32"/>
  <c r="L122" i="32"/>
  <c r="I122" i="32"/>
  <c r="N122" i="32"/>
  <c r="F122" i="32"/>
  <c r="U122" i="32" s="1"/>
  <c r="K122" i="32"/>
  <c r="M122" i="32"/>
  <c r="J193" i="57"/>
  <c r="H193" i="57"/>
  <c r="E193" i="57"/>
  <c r="K193" i="57"/>
  <c r="G193" i="57"/>
  <c r="C193" i="57"/>
  <c r="F193" i="57"/>
  <c r="I193" i="57"/>
  <c r="D193" i="57"/>
  <c r="AN192" i="55" a="1"/>
  <c r="AN192" i="55" s="1"/>
  <c r="B194" i="57" s="1"/>
  <c r="AR178" i="67" a="1"/>
  <c r="AR178" i="67" s="1"/>
  <c r="B179" i="69"/>
  <c r="L179" i="69" s="1"/>
  <c r="R176" i="69"/>
  <c r="S176" i="69" s="1"/>
  <c r="Y176" i="69" s="1"/>
  <c r="AE176" i="69"/>
  <c r="D177" i="69"/>
  <c r="E177" i="69" s="1"/>
  <c r="F177" i="69" s="1"/>
  <c r="G177" i="69" s="1"/>
  <c r="H177" i="69" s="1"/>
  <c r="I177" i="69" s="1"/>
  <c r="J177" i="69" s="1"/>
  <c r="K177" i="69" s="1"/>
  <c r="M177" i="69" s="1"/>
  <c r="C178" i="69"/>
  <c r="P178" i="69" s="1"/>
  <c r="AL123" i="11" a="1"/>
  <c r="AL123" i="11" s="1"/>
  <c r="E124" i="32" s="1"/>
  <c r="AP133" i="59" a="1"/>
  <c r="AP133" i="59" s="1"/>
  <c r="E134" i="50" s="1"/>
  <c r="AQ23" i="59" a="1"/>
  <c r="AQ23" i="59" s="1"/>
  <c r="X191" i="57" l="1"/>
  <c r="AB191" i="57" s="1"/>
  <c r="AD132" i="50"/>
  <c r="AG132" i="50" s="1"/>
  <c r="AG193" i="57"/>
  <c r="AD192" i="57"/>
  <c r="M194" i="53"/>
  <c r="AC194" i="53" s="1"/>
  <c r="O194" i="53"/>
  <c r="AP178" i="69"/>
  <c r="N178" i="69"/>
  <c r="U178" i="69" s="1"/>
  <c r="AJ192" i="57"/>
  <c r="AE192" i="57"/>
  <c r="R192" i="57"/>
  <c r="Q192" i="57"/>
  <c r="T192" i="57" s="1"/>
  <c r="AQ192" i="57"/>
  <c r="AC192" i="57"/>
  <c r="AA190" i="57"/>
  <c r="AF190" i="57"/>
  <c r="M193" i="57"/>
  <c r="AK193" i="57" s="1"/>
  <c r="Q133" i="50"/>
  <c r="P133" i="50" s="1"/>
  <c r="Q123" i="32"/>
  <c r="P123" i="32" s="1"/>
  <c r="Q122" i="32"/>
  <c r="P122" i="32" s="1"/>
  <c r="N194" i="53"/>
  <c r="T124" i="32"/>
  <c r="O124" i="32"/>
  <c r="T134" i="50"/>
  <c r="O134" i="50"/>
  <c r="AA192" i="53"/>
  <c r="AB192" i="53"/>
  <c r="AP130" i="50"/>
  <c r="AM123" i="32"/>
  <c r="AM122" i="32"/>
  <c r="AJ132" i="50"/>
  <c r="C132" i="50"/>
  <c r="S133" i="50"/>
  <c r="Z133" i="50" s="1"/>
  <c r="S122" i="32"/>
  <c r="Z122" i="32" s="1"/>
  <c r="S123" i="32"/>
  <c r="Z123" i="32" s="1"/>
  <c r="W132" i="50"/>
  <c r="X131" i="50"/>
  <c r="V132" i="50"/>
  <c r="AF177" i="69"/>
  <c r="Q177" i="69"/>
  <c r="O194" i="57"/>
  <c r="P194" i="57"/>
  <c r="AC175" i="69"/>
  <c r="AD175" i="69" s="1"/>
  <c r="AH131" i="50"/>
  <c r="AI131" i="50" s="1"/>
  <c r="AB176" i="69"/>
  <c r="AG176" i="69"/>
  <c r="AO178" i="69"/>
  <c r="O179" i="69"/>
  <c r="AK134" i="50"/>
  <c r="AE193" i="53"/>
  <c r="AF192" i="53"/>
  <c r="AK124" i="32"/>
  <c r="AM133" i="50"/>
  <c r="AL121" i="32"/>
  <c r="AI120" i="32"/>
  <c r="AN120" i="32" s="1"/>
  <c r="R193" i="53"/>
  <c r="X193" i="53" s="1"/>
  <c r="AL131" i="50"/>
  <c r="AY177" i="69"/>
  <c r="L194" i="57"/>
  <c r="AH193" i="53"/>
  <c r="AT193" i="53"/>
  <c r="AG193" i="53"/>
  <c r="N194" i="57"/>
  <c r="L194" i="53"/>
  <c r="AH177" i="69"/>
  <c r="AD193" i="53"/>
  <c r="Q193" i="53"/>
  <c r="AK193" i="52" a="1"/>
  <c r="AK193" i="52" s="1"/>
  <c r="B195" i="53" s="1"/>
  <c r="F194" i="53"/>
  <c r="E194" i="53"/>
  <c r="P194" i="53"/>
  <c r="J194" i="53"/>
  <c r="I194" i="53"/>
  <c r="D194" i="53"/>
  <c r="C194" i="53"/>
  <c r="H194" i="53"/>
  <c r="G194" i="53"/>
  <c r="K194" i="53"/>
  <c r="A124" i="32"/>
  <c r="B124" i="32"/>
  <c r="R124" i="32" s="1"/>
  <c r="F134" i="50"/>
  <c r="U134" i="50" s="1"/>
  <c r="G134" i="50"/>
  <c r="B134" i="50"/>
  <c r="R134" i="50" s="1"/>
  <c r="L134" i="50"/>
  <c r="K134" i="50"/>
  <c r="I134" i="50"/>
  <c r="A134" i="50"/>
  <c r="M134" i="50"/>
  <c r="J134" i="50"/>
  <c r="N134" i="50"/>
  <c r="H134" i="50"/>
  <c r="K124" i="32"/>
  <c r="L124" i="32"/>
  <c r="F124" i="32"/>
  <c r="U124" i="32" s="1"/>
  <c r="N124" i="32"/>
  <c r="H124" i="32"/>
  <c r="J124" i="32"/>
  <c r="M124" i="32"/>
  <c r="G124" i="32"/>
  <c r="I124" i="32"/>
  <c r="J194" i="57"/>
  <c r="D194" i="57"/>
  <c r="H194" i="57"/>
  <c r="C194" i="57"/>
  <c r="K194" i="57"/>
  <c r="F194" i="57"/>
  <c r="I194" i="57"/>
  <c r="G194" i="57"/>
  <c r="E194" i="57"/>
  <c r="AN193" i="55" a="1"/>
  <c r="AN193" i="55" s="1"/>
  <c r="B195" i="57" s="1"/>
  <c r="AR179" i="67" a="1"/>
  <c r="AR179" i="67" s="1"/>
  <c r="B180" i="69"/>
  <c r="L180" i="69" s="1"/>
  <c r="R177" i="69"/>
  <c r="S177" i="69" s="1"/>
  <c r="Y177" i="69" s="1"/>
  <c r="AE177" i="69"/>
  <c r="C179" i="69"/>
  <c r="P179" i="69" s="1"/>
  <c r="D178" i="69"/>
  <c r="E178" i="69" s="1"/>
  <c r="F178" i="69" s="1"/>
  <c r="G178" i="69" s="1"/>
  <c r="H178" i="69" s="1"/>
  <c r="I178" i="69" s="1"/>
  <c r="J178" i="69" s="1"/>
  <c r="K178" i="69" s="1"/>
  <c r="M178" i="69" s="1"/>
  <c r="AL124" i="11" a="1"/>
  <c r="AL124" i="11" s="1"/>
  <c r="E125" i="32" s="1"/>
  <c r="AP134" i="59" a="1"/>
  <c r="AP134" i="59" s="1"/>
  <c r="E135" i="50" s="1"/>
  <c r="AQ24" i="59" a="1"/>
  <c r="AQ24" i="59" s="1"/>
  <c r="AC21" i="11"/>
  <c r="Q21" i="11" s="1"/>
  <c r="F61" i="22" s="1"/>
  <c r="F132" i="22" l="1"/>
  <c r="X21" i="11"/>
  <c r="AF191" i="57"/>
  <c r="AD123" i="32"/>
  <c r="AG123" i="32" s="1"/>
  <c r="AH123" i="32" s="1"/>
  <c r="AD122" i="32"/>
  <c r="AG122" i="32" s="1"/>
  <c r="AH122" i="32" s="1"/>
  <c r="AD133" i="50"/>
  <c r="AG133" i="50" s="1"/>
  <c r="AG194" i="57"/>
  <c r="X192" i="57"/>
  <c r="AB192" i="57" s="1"/>
  <c r="AA191" i="57"/>
  <c r="M195" i="53"/>
  <c r="AC195" i="53" s="1"/>
  <c r="O195" i="53"/>
  <c r="AP179" i="69"/>
  <c r="N179" i="69"/>
  <c r="U179" i="69" s="1"/>
  <c r="AJ193" i="57"/>
  <c r="AD193" i="57"/>
  <c r="AC193" i="57"/>
  <c r="Q193" i="57"/>
  <c r="T193" i="57" s="1"/>
  <c r="AQ193" i="57"/>
  <c r="AE193" i="57"/>
  <c r="R193" i="57"/>
  <c r="M194" i="57"/>
  <c r="AK194" i="57" s="1"/>
  <c r="Q134" i="50"/>
  <c r="P134" i="50" s="1"/>
  <c r="Q124" i="32"/>
  <c r="P124" i="32" s="1"/>
  <c r="N195" i="53"/>
  <c r="T125" i="32"/>
  <c r="O125" i="32"/>
  <c r="T135" i="50"/>
  <c r="O135" i="50"/>
  <c r="AA193" i="53"/>
  <c r="AB193" i="53"/>
  <c r="AP131" i="50"/>
  <c r="AM124" i="32"/>
  <c r="AJ133" i="50"/>
  <c r="C133" i="50"/>
  <c r="S134" i="50"/>
  <c r="Z134" i="50" s="1"/>
  <c r="C123" i="32"/>
  <c r="AJ123" i="32"/>
  <c r="W123" i="32"/>
  <c r="X123" i="32" s="1"/>
  <c r="AJ122" i="32"/>
  <c r="W122" i="32"/>
  <c r="X122" i="32" s="1"/>
  <c r="C122" i="32"/>
  <c r="S124" i="32"/>
  <c r="Z124" i="32" s="1"/>
  <c r="W133" i="50"/>
  <c r="X132" i="50"/>
  <c r="V133" i="50"/>
  <c r="V122" i="32"/>
  <c r="V123" i="32"/>
  <c r="AF178" i="69"/>
  <c r="Q178" i="69"/>
  <c r="O195" i="57"/>
  <c r="P195" i="57"/>
  <c r="AC176" i="69"/>
  <c r="AD176" i="69" s="1"/>
  <c r="AH132" i="50"/>
  <c r="AI132" i="50" s="1"/>
  <c r="AB177" i="69"/>
  <c r="AG177" i="69"/>
  <c r="O180" i="69"/>
  <c r="AO179" i="69"/>
  <c r="AK135" i="50"/>
  <c r="AF193" i="53"/>
  <c r="AE194" i="53"/>
  <c r="AK125" i="32"/>
  <c r="AM134" i="50"/>
  <c r="AI121" i="32"/>
  <c r="AN121" i="32" s="1"/>
  <c r="R194" i="53"/>
  <c r="X194" i="53" s="1"/>
  <c r="AL132" i="50"/>
  <c r="I82" i="22"/>
  <c r="N22" i="32"/>
  <c r="AY178" i="69"/>
  <c r="L195" i="57"/>
  <c r="AG194" i="53"/>
  <c r="AH194" i="53"/>
  <c r="AT194" i="53"/>
  <c r="N195" i="57"/>
  <c r="AH178" i="69"/>
  <c r="Q194" i="53"/>
  <c r="AD194" i="53"/>
  <c r="AK194" i="52" a="1"/>
  <c r="AK194" i="52" s="1"/>
  <c r="B196" i="53" s="1"/>
  <c r="J195" i="53"/>
  <c r="E195" i="53"/>
  <c r="H195" i="53"/>
  <c r="G195" i="53"/>
  <c r="K195" i="53"/>
  <c r="D195" i="53"/>
  <c r="F195" i="53"/>
  <c r="P195" i="53"/>
  <c r="C195" i="53"/>
  <c r="I195" i="53"/>
  <c r="L195" i="53"/>
  <c r="A125" i="32"/>
  <c r="B125" i="32"/>
  <c r="R125" i="32" s="1"/>
  <c r="M135" i="50"/>
  <c r="G135" i="50"/>
  <c r="A135" i="50"/>
  <c r="L135" i="50"/>
  <c r="J135" i="50"/>
  <c r="K135" i="50"/>
  <c r="F135" i="50"/>
  <c r="U135" i="50" s="1"/>
  <c r="I135" i="50"/>
  <c r="B135" i="50"/>
  <c r="R135" i="50" s="1"/>
  <c r="N135" i="50"/>
  <c r="H135" i="50"/>
  <c r="I125" i="32"/>
  <c r="J125" i="32"/>
  <c r="L125" i="32"/>
  <c r="F125" i="32"/>
  <c r="U125" i="32" s="1"/>
  <c r="N125" i="32"/>
  <c r="K125" i="32"/>
  <c r="H125" i="32"/>
  <c r="G125" i="32"/>
  <c r="M125" i="32"/>
  <c r="I195" i="57"/>
  <c r="F195" i="57"/>
  <c r="E195" i="57"/>
  <c r="D195" i="57"/>
  <c r="J195" i="57"/>
  <c r="K195" i="57"/>
  <c r="G195" i="57"/>
  <c r="H195" i="57"/>
  <c r="C195" i="57"/>
  <c r="AN194" i="55" a="1"/>
  <c r="AN194" i="55" s="1"/>
  <c r="B196" i="57" s="1"/>
  <c r="AR180" i="67" a="1"/>
  <c r="AR180" i="67" s="1"/>
  <c r="B181" i="69"/>
  <c r="L181" i="69" s="1"/>
  <c r="R178" i="69"/>
  <c r="S178" i="69" s="1"/>
  <c r="Y178" i="69" s="1"/>
  <c r="AE178" i="69"/>
  <c r="D179" i="69"/>
  <c r="E179" i="69" s="1"/>
  <c r="F179" i="69" s="1"/>
  <c r="G179" i="69" s="1"/>
  <c r="H179" i="69" s="1"/>
  <c r="I179" i="69" s="1"/>
  <c r="J179" i="69" s="1"/>
  <c r="K179" i="69" s="1"/>
  <c r="M179" i="69" s="1"/>
  <c r="C180" i="69"/>
  <c r="P180" i="69" s="1"/>
  <c r="AL125" i="11" a="1"/>
  <c r="AL125" i="11" s="1"/>
  <c r="E126" i="32" s="1"/>
  <c r="AP135" i="59" a="1"/>
  <c r="AP135" i="59" s="1"/>
  <c r="E136" i="50" s="1"/>
  <c r="I4" i="22"/>
  <c r="I13" i="22"/>
  <c r="AQ25" i="59" a="1"/>
  <c r="AQ25" i="59" s="1"/>
  <c r="I66" i="22"/>
  <c r="I7" i="22"/>
  <c r="I59" i="22"/>
  <c r="I10" i="22"/>
  <c r="AH13" i="11"/>
  <c r="AH15" i="11"/>
  <c r="AH16" i="11"/>
  <c r="AH17" i="11"/>
  <c r="AH19" i="11"/>
  <c r="AD124" i="32" l="1"/>
  <c r="AG124" i="32" s="1"/>
  <c r="AH124" i="32" s="1"/>
  <c r="AD134" i="50"/>
  <c r="AG134" i="50" s="1"/>
  <c r="X193" i="57"/>
  <c r="AB193" i="57" s="1"/>
  <c r="AG195" i="57"/>
  <c r="M196" i="53"/>
  <c r="AC196" i="53" s="1"/>
  <c r="O196" i="53"/>
  <c r="AP180" i="69"/>
  <c r="N180" i="69"/>
  <c r="U180" i="69" s="1"/>
  <c r="AA192" i="57"/>
  <c r="AF192" i="57"/>
  <c r="AQ194" i="57"/>
  <c r="Q194" i="57"/>
  <c r="T194" i="57" s="1"/>
  <c r="AD194" i="57"/>
  <c r="AJ194" i="57"/>
  <c r="R194" i="57"/>
  <c r="AE194" i="57"/>
  <c r="AC194" i="57"/>
  <c r="M195" i="57"/>
  <c r="AK195" i="57" s="1"/>
  <c r="Q135" i="50"/>
  <c r="P135" i="50" s="1"/>
  <c r="Q125" i="32"/>
  <c r="P125" i="32" s="1"/>
  <c r="N196" i="53"/>
  <c r="T126" i="32"/>
  <c r="O126" i="32"/>
  <c r="T136" i="50"/>
  <c r="O136" i="50"/>
  <c r="AA194" i="53"/>
  <c r="AB194" i="53"/>
  <c r="AP132" i="50"/>
  <c r="AM125" i="32"/>
  <c r="C134" i="50"/>
  <c r="AJ134" i="50"/>
  <c r="S135" i="50"/>
  <c r="Z135" i="50" s="1"/>
  <c r="I19" i="22"/>
  <c r="BG6" i="22" s="1"/>
  <c r="N18" i="32"/>
  <c r="BG15" i="22"/>
  <c r="C124" i="32"/>
  <c r="W124" i="32"/>
  <c r="X124" i="32" s="1"/>
  <c r="AJ124" i="32"/>
  <c r="S125" i="32"/>
  <c r="Z125" i="32" s="1"/>
  <c r="W134" i="50"/>
  <c r="X133" i="50"/>
  <c r="V134" i="50"/>
  <c r="V124" i="32"/>
  <c r="T259" i="59"/>
  <c r="AF179" i="69"/>
  <c r="Q179" i="69"/>
  <c r="O196" i="57"/>
  <c r="P196" i="57"/>
  <c r="AC177" i="69"/>
  <c r="AD177" i="69" s="1"/>
  <c r="AH133" i="50"/>
  <c r="AI133" i="50" s="1"/>
  <c r="AB178" i="69"/>
  <c r="AG178" i="69"/>
  <c r="O181" i="69"/>
  <c r="AO180" i="69"/>
  <c r="AK136" i="50"/>
  <c r="AE195" i="53"/>
  <c r="AF194" i="53"/>
  <c r="AK126" i="32"/>
  <c r="Q259" i="59"/>
  <c r="L20" i="73" s="1"/>
  <c r="AM135" i="50"/>
  <c r="AL123" i="32"/>
  <c r="AL122" i="32"/>
  <c r="R195" i="53"/>
  <c r="X195" i="53" s="1"/>
  <c r="AL133" i="50"/>
  <c r="BG8" i="22"/>
  <c r="BG12" i="22"/>
  <c r="L48" i="36"/>
  <c r="L42" i="36"/>
  <c r="L46" i="36"/>
  <c r="L44" i="36"/>
  <c r="L40" i="36"/>
  <c r="AY179" i="69"/>
  <c r="L196" i="57"/>
  <c r="AH195" i="53"/>
  <c r="AT195" i="53"/>
  <c r="AG195" i="53"/>
  <c r="N196" i="57"/>
  <c r="I196" i="53"/>
  <c r="AH179" i="69"/>
  <c r="AD195" i="53"/>
  <c r="Q195" i="53"/>
  <c r="L196" i="53"/>
  <c r="G196" i="53"/>
  <c r="H196" i="53"/>
  <c r="F196" i="53"/>
  <c r="D196" i="53"/>
  <c r="K196" i="53"/>
  <c r="E196" i="53"/>
  <c r="P196" i="53"/>
  <c r="J196" i="53"/>
  <c r="AK195" i="52" a="1"/>
  <c r="AK195" i="52" s="1"/>
  <c r="B197" i="53" s="1"/>
  <c r="C196" i="53"/>
  <c r="A126" i="32"/>
  <c r="B126" i="32"/>
  <c r="R126" i="32" s="1"/>
  <c r="F136" i="50"/>
  <c r="U136" i="50" s="1"/>
  <c r="N136" i="50"/>
  <c r="G136" i="50"/>
  <c r="J136" i="50"/>
  <c r="H136" i="50"/>
  <c r="I136" i="50"/>
  <c r="B136" i="50"/>
  <c r="R136" i="50" s="1"/>
  <c r="M136" i="50"/>
  <c r="A136" i="50"/>
  <c r="K136" i="50"/>
  <c r="L136" i="50"/>
  <c r="G126" i="32"/>
  <c r="H126" i="32"/>
  <c r="J126" i="32"/>
  <c r="L126" i="32"/>
  <c r="F126" i="32"/>
  <c r="U126" i="32" s="1"/>
  <c r="I126" i="32"/>
  <c r="N126" i="32"/>
  <c r="M126" i="32"/>
  <c r="K126" i="32"/>
  <c r="K196" i="57"/>
  <c r="H196" i="57"/>
  <c r="F196" i="57"/>
  <c r="C196" i="57"/>
  <c r="I196" i="57"/>
  <c r="J196" i="57"/>
  <c r="E196" i="57"/>
  <c r="G196" i="57"/>
  <c r="D196" i="57"/>
  <c r="AN195" i="55" a="1"/>
  <c r="AN195" i="55" s="1"/>
  <c r="B197" i="57" s="1"/>
  <c r="AR181" i="67" a="1"/>
  <c r="AR181" i="67" s="1"/>
  <c r="B182" i="69"/>
  <c r="L182" i="69" s="1"/>
  <c r="AE179" i="69"/>
  <c r="R179" i="69"/>
  <c r="S179" i="69" s="1"/>
  <c r="D180" i="69"/>
  <c r="E180" i="69" s="1"/>
  <c r="F180" i="69" s="1"/>
  <c r="G180" i="69" s="1"/>
  <c r="H180" i="69" s="1"/>
  <c r="I180" i="69" s="1"/>
  <c r="J180" i="69" s="1"/>
  <c r="K180" i="69" s="1"/>
  <c r="M180" i="69" s="1"/>
  <c r="C181" i="69"/>
  <c r="P181" i="69" s="1"/>
  <c r="AL126" i="11" a="1"/>
  <c r="AL126" i="11" s="1"/>
  <c r="E127" i="32" s="1"/>
  <c r="I26" i="22"/>
  <c r="AP136" i="59" a="1"/>
  <c r="AP136" i="59" s="1"/>
  <c r="E137" i="50" s="1"/>
  <c r="I5" i="22"/>
  <c r="I46" i="22"/>
  <c r="AQ26" i="59" a="1"/>
  <c r="AQ26" i="59" s="1"/>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l="1"/>
  <c r="F24" i="96" s="1"/>
  <c r="Y179" i="69"/>
  <c r="AB179" i="69" s="1"/>
  <c r="AC179" i="69" s="1"/>
  <c r="AD179" i="69" s="1"/>
  <c r="AD125" i="32"/>
  <c r="AG125" i="32" s="1"/>
  <c r="AH125" i="32" s="1"/>
  <c r="AD135" i="50"/>
  <c r="AG135" i="50" s="1"/>
  <c r="AD195" i="57"/>
  <c r="AJ195" i="57"/>
  <c r="X194" i="57"/>
  <c r="AF194" i="57" s="1"/>
  <c r="AG196" i="57"/>
  <c r="Q195" i="57"/>
  <c r="T195" i="57" s="1"/>
  <c r="AQ195" i="57"/>
  <c r="R195" i="57"/>
  <c r="AC195" i="57"/>
  <c r="AA193" i="57"/>
  <c r="M197" i="53"/>
  <c r="AC197" i="53" s="1"/>
  <c r="O197" i="53"/>
  <c r="AP181" i="69"/>
  <c r="N181" i="69"/>
  <c r="U181" i="69" s="1"/>
  <c r="AF193" i="57"/>
  <c r="AE195" i="57"/>
  <c r="M196" i="57"/>
  <c r="AK196" i="57" s="1"/>
  <c r="Q136" i="50"/>
  <c r="P136" i="50" s="1"/>
  <c r="Q126" i="32"/>
  <c r="P126" i="32" s="1"/>
  <c r="H20" i="73"/>
  <c r="N197" i="53"/>
  <c r="T127" i="32"/>
  <c r="O127" i="32"/>
  <c r="O137" i="50"/>
  <c r="T137" i="50"/>
  <c r="AA195" i="53"/>
  <c r="AB195" i="53"/>
  <c r="AP133" i="50"/>
  <c r="AM126" i="32"/>
  <c r="C135" i="50"/>
  <c r="AJ135" i="50"/>
  <c r="S136" i="50"/>
  <c r="Z136" i="50" s="1"/>
  <c r="AQ21" i="11"/>
  <c r="C125" i="32"/>
  <c r="W125" i="32"/>
  <c r="X125" i="32" s="1"/>
  <c r="AJ125" i="32"/>
  <c r="S126" i="32"/>
  <c r="Z126" i="32" s="1"/>
  <c r="W135" i="50"/>
  <c r="X134" i="50"/>
  <c r="V135" i="50"/>
  <c r="V125" i="32"/>
  <c r="AF180" i="69"/>
  <c r="Q180" i="69"/>
  <c r="O197" i="57"/>
  <c r="P197" i="57"/>
  <c r="D24" i="36"/>
  <c r="AC178" i="69"/>
  <c r="AD178" i="69" s="1"/>
  <c r="AH134" i="50"/>
  <c r="AI134" i="50" s="1"/>
  <c r="F56" i="22"/>
  <c r="F16" i="22"/>
  <c r="F57" i="22"/>
  <c r="AO181" i="69"/>
  <c r="O182" i="69"/>
  <c r="F4" i="22"/>
  <c r="F9" i="22"/>
  <c r="AK137" i="50"/>
  <c r="D27" i="36"/>
  <c r="F62" i="22"/>
  <c r="AF195" i="53"/>
  <c r="AE196" i="53"/>
  <c r="AK127" i="32"/>
  <c r="AM136" i="50"/>
  <c r="AL124" i="32"/>
  <c r="AI122" i="32"/>
  <c r="AN122" i="32" s="1"/>
  <c r="R196" i="53"/>
  <c r="X196" i="53" s="1"/>
  <c r="AL134" i="50"/>
  <c r="BG16" i="22"/>
  <c r="BG7" i="22"/>
  <c r="AI123" i="32"/>
  <c r="AN123" i="32" s="1"/>
  <c r="AY180" i="69"/>
  <c r="L197" i="57"/>
  <c r="AH196" i="53"/>
  <c r="AT196" i="53"/>
  <c r="AG196" i="53"/>
  <c r="N197" i="57"/>
  <c r="E197" i="53"/>
  <c r="AH180" i="69"/>
  <c r="AD196" i="53"/>
  <c r="I12" i="32"/>
  <c r="T12" i="32" s="1"/>
  <c r="U12" i="32" s="1"/>
  <c r="Q196" i="53"/>
  <c r="P197" i="53"/>
  <c r="H197" i="53"/>
  <c r="C197" i="53"/>
  <c r="I197" i="53"/>
  <c r="F197" i="53"/>
  <c r="K197" i="53"/>
  <c r="L197" i="53"/>
  <c r="D197" i="53"/>
  <c r="AK196" i="52" a="1"/>
  <c r="AK196" i="52" s="1"/>
  <c r="B198" i="53" s="1"/>
  <c r="J197" i="53"/>
  <c r="G197" i="53"/>
  <c r="A127" i="32"/>
  <c r="B127" i="32"/>
  <c r="R127" i="32" s="1"/>
  <c r="J137" i="50"/>
  <c r="F137" i="50"/>
  <c r="U137" i="50" s="1"/>
  <c r="M137" i="50"/>
  <c r="H137" i="50"/>
  <c r="K137" i="50"/>
  <c r="I137" i="50"/>
  <c r="G137" i="50"/>
  <c r="A137" i="50"/>
  <c r="N137" i="50"/>
  <c r="L137" i="50"/>
  <c r="B137" i="50"/>
  <c r="R137" i="50" s="1"/>
  <c r="M127" i="32"/>
  <c r="F127" i="32"/>
  <c r="U127" i="32" s="1"/>
  <c r="N127" i="32"/>
  <c r="H127" i="32"/>
  <c r="J127" i="32"/>
  <c r="G127" i="32"/>
  <c r="L127" i="32"/>
  <c r="I127" i="32"/>
  <c r="K127" i="32"/>
  <c r="V11" i="11"/>
  <c r="U11" i="11"/>
  <c r="H135" i="22" s="1"/>
  <c r="J197" i="57"/>
  <c r="E197" i="57"/>
  <c r="K197" i="57"/>
  <c r="G197" i="57"/>
  <c r="C197" i="57"/>
  <c r="I197" i="57"/>
  <c r="D197" i="57"/>
  <c r="F197" i="57"/>
  <c r="H197" i="57"/>
  <c r="AN196" i="55" a="1"/>
  <c r="AN196" i="55" s="1"/>
  <c r="B198" i="57" s="1"/>
  <c r="R180" i="69"/>
  <c r="S180" i="69" s="1"/>
  <c r="Y180" i="69" s="1"/>
  <c r="AE180" i="69"/>
  <c r="D181" i="69"/>
  <c r="E181" i="69" s="1"/>
  <c r="F181" i="69" s="1"/>
  <c r="G181" i="69" s="1"/>
  <c r="H181" i="69" s="1"/>
  <c r="I181" i="69" s="1"/>
  <c r="J181" i="69" s="1"/>
  <c r="K181" i="69" s="1"/>
  <c r="M181" i="69" s="1"/>
  <c r="C182" i="69"/>
  <c r="P182" i="69" s="1"/>
  <c r="AR182" i="67" a="1"/>
  <c r="AR182" i="67" s="1"/>
  <c r="B183" i="69"/>
  <c r="L183" i="69" s="1"/>
  <c r="AL127" i="11" a="1"/>
  <c r="AL127" i="11" s="1"/>
  <c r="E128" i="32" s="1"/>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33" i="22"/>
  <c r="L52" i="22"/>
  <c r="L68" i="22"/>
  <c r="L97" i="22"/>
  <c r="L15" i="22"/>
  <c r="AP137" i="59" a="1"/>
  <c r="AP137" i="59" s="1"/>
  <c r="E138" i="50" s="1"/>
  <c r="AQ27" i="59" a="1"/>
  <c r="AQ27" i="59" s="1"/>
  <c r="L10" i="22"/>
  <c r="L34" i="22"/>
  <c r="L9" i="22"/>
  <c r="L11" i="22"/>
  <c r="L22" i="22"/>
  <c r="L12" i="22"/>
  <c r="H127" i="22"/>
  <c r="H43" i="22"/>
  <c r="H104" i="22"/>
  <c r="AM11" i="11" a="1"/>
  <c r="AM11" i="11" s="1"/>
  <c r="L13" i="22"/>
  <c r="V259" i="11" l="1" a="1"/>
  <c r="V259" i="11" s="1"/>
  <c r="D28" i="36" s="1"/>
  <c r="AA194" i="57"/>
  <c r="AD136" i="50"/>
  <c r="AG136" i="50" s="1"/>
  <c r="AG179" i="69"/>
  <c r="AD126" i="32"/>
  <c r="AG126" i="32" s="1"/>
  <c r="AH126" i="32" s="1"/>
  <c r="X195" i="57"/>
  <c r="AA195" i="57" s="1"/>
  <c r="AG197" i="57"/>
  <c r="U259" i="11" a="1"/>
  <c r="U259" i="11" s="1"/>
  <c r="D25" i="36" s="1"/>
  <c r="H117" i="22"/>
  <c r="AB194" i="57"/>
  <c r="AC196" i="57"/>
  <c r="M198" i="53"/>
  <c r="AC198" i="53" s="1"/>
  <c r="O198" i="53"/>
  <c r="AP182" i="69"/>
  <c r="N182" i="69"/>
  <c r="U182" i="69" s="1"/>
  <c r="Q196" i="57"/>
  <c r="T196" i="57" s="1"/>
  <c r="AQ196" i="57"/>
  <c r="AD196" i="57"/>
  <c r="AJ196" i="57"/>
  <c r="R196" i="57"/>
  <c r="AE196" i="57"/>
  <c r="M197" i="57"/>
  <c r="AK197" i="57" s="1"/>
  <c r="Q137" i="50"/>
  <c r="P137" i="50" s="1"/>
  <c r="Q127" i="32"/>
  <c r="P127" i="32" s="1"/>
  <c r="N198" i="53"/>
  <c r="T128" i="32"/>
  <c r="O128" i="32"/>
  <c r="T138" i="50"/>
  <c r="O138" i="50"/>
  <c r="AA196" i="53"/>
  <c r="AB196" i="53"/>
  <c r="AP134" i="50"/>
  <c r="AM127" i="32"/>
  <c r="C136" i="50"/>
  <c r="AJ136" i="50"/>
  <c r="S137" i="50"/>
  <c r="Z137" i="50" s="1"/>
  <c r="H114" i="22"/>
  <c r="H113" i="22"/>
  <c r="C126" i="32"/>
  <c r="W126" i="32"/>
  <c r="X126" i="32" s="1"/>
  <c r="AJ126" i="32"/>
  <c r="S127" i="32"/>
  <c r="Z127" i="32" s="1"/>
  <c r="W136" i="50"/>
  <c r="H55" i="22"/>
  <c r="H80" i="22"/>
  <c r="H38" i="22"/>
  <c r="F117" i="22"/>
  <c r="X135" i="50"/>
  <c r="V136" i="50"/>
  <c r="V126" i="32"/>
  <c r="AF181" i="69"/>
  <c r="Q181" i="69"/>
  <c r="O198" i="57"/>
  <c r="P198" i="57"/>
  <c r="AH135" i="50"/>
  <c r="AI135" i="50" s="1"/>
  <c r="AD12" i="32"/>
  <c r="AB180" i="69"/>
  <c r="AG180" i="69"/>
  <c r="O183" i="69"/>
  <c r="AO182" i="69"/>
  <c r="AK138" i="50"/>
  <c r="AE197" i="53"/>
  <c r="AF196" i="53"/>
  <c r="AK128" i="32"/>
  <c r="AM137" i="50"/>
  <c r="AL125" i="32"/>
  <c r="H131" i="22"/>
  <c r="H109" i="22"/>
  <c r="R197" i="53"/>
  <c r="X197" i="53" s="1"/>
  <c r="AL135" i="50"/>
  <c r="F18" i="22"/>
  <c r="F26" i="22"/>
  <c r="AI124" i="32"/>
  <c r="AN124" i="32" s="1"/>
  <c r="H115" i="22"/>
  <c r="AY181" i="69"/>
  <c r="L198" i="57"/>
  <c r="AG197" i="53"/>
  <c r="AH197" i="53"/>
  <c r="AT197" i="53"/>
  <c r="N198" i="57"/>
  <c r="G198" i="53"/>
  <c r="AH181" i="69"/>
  <c r="AD197" i="53"/>
  <c r="Q197" i="53"/>
  <c r="F198" i="53"/>
  <c r="H198" i="53"/>
  <c r="AK197" i="52" a="1"/>
  <c r="AK197" i="52" s="1"/>
  <c r="B199" i="53" s="1"/>
  <c r="K198" i="53"/>
  <c r="J198" i="53"/>
  <c r="D198" i="53"/>
  <c r="L198" i="53"/>
  <c r="I198" i="53"/>
  <c r="C198" i="53"/>
  <c r="P198" i="53"/>
  <c r="E198" i="53"/>
  <c r="A128" i="32"/>
  <c r="B128" i="32"/>
  <c r="R128" i="32" s="1"/>
  <c r="H138" i="50"/>
  <c r="I138" i="50"/>
  <c r="M138" i="50"/>
  <c r="F138" i="50"/>
  <c r="U138" i="50" s="1"/>
  <c r="G138" i="50"/>
  <c r="N138" i="50"/>
  <c r="J138" i="50"/>
  <c r="K138" i="50"/>
  <c r="B138" i="50"/>
  <c r="R138" i="50" s="1"/>
  <c r="A138" i="50"/>
  <c r="L138" i="50"/>
  <c r="K128" i="32"/>
  <c r="L128" i="32"/>
  <c r="F128" i="32"/>
  <c r="U128" i="32" s="1"/>
  <c r="N128" i="32"/>
  <c r="H128" i="32"/>
  <c r="M128" i="32"/>
  <c r="J128" i="32"/>
  <c r="I128" i="32"/>
  <c r="G128" i="32"/>
  <c r="D198" i="57"/>
  <c r="J198" i="57"/>
  <c r="G198" i="57"/>
  <c r="K198" i="57"/>
  <c r="F198" i="57"/>
  <c r="H198" i="57"/>
  <c r="I198" i="57"/>
  <c r="E198" i="57"/>
  <c r="C198" i="57"/>
  <c r="H133" i="22"/>
  <c r="H116" i="22"/>
  <c r="AN197" i="55" a="1"/>
  <c r="AN197" i="55" s="1"/>
  <c r="B199" i="57" s="1"/>
  <c r="D182" i="69"/>
  <c r="E182" i="69" s="1"/>
  <c r="F182" i="69" s="1"/>
  <c r="G182" i="69" s="1"/>
  <c r="H182" i="69" s="1"/>
  <c r="I182" i="69" s="1"/>
  <c r="J182" i="69" s="1"/>
  <c r="K182" i="69" s="1"/>
  <c r="M182" i="69" s="1"/>
  <c r="R181" i="69"/>
  <c r="S181" i="69" s="1"/>
  <c r="Y181" i="69" s="1"/>
  <c r="AE181" i="69"/>
  <c r="C183" i="69"/>
  <c r="P183" i="69" s="1"/>
  <c r="AR183" i="67" a="1"/>
  <c r="AR183" i="67" s="1"/>
  <c r="B184" i="69"/>
  <c r="L184" i="69" s="1"/>
  <c r="L94" i="22"/>
  <c r="H103" i="22"/>
  <c r="L127" i="22"/>
  <c r="AL128" i="11" a="1"/>
  <c r="AL128" i="11" s="1"/>
  <c r="E129" i="32" s="1"/>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s="1"/>
  <c r="E139" i="50" s="1"/>
  <c r="H6" i="22"/>
  <c r="H61" i="22"/>
  <c r="H21" i="22"/>
  <c r="H54" i="22"/>
  <c r="H11" i="22"/>
  <c r="H59" i="22"/>
  <c r="H13" i="22"/>
  <c r="H37" i="22"/>
  <c r="H14" i="22"/>
  <c r="H82" i="22"/>
  <c r="H16" i="22"/>
  <c r="H36" i="22"/>
  <c r="H84" i="22"/>
  <c r="H47" i="22"/>
  <c r="H23" i="22"/>
  <c r="H46" i="22"/>
  <c r="H85" i="22"/>
  <c r="H97" i="22"/>
  <c r="L6" i="22"/>
  <c r="L4" i="22"/>
  <c r="H5" i="22"/>
  <c r="H17" i="22"/>
  <c r="H57" i="22"/>
  <c r="AQ28" i="59" a="1"/>
  <c r="AQ28" i="59" s="1"/>
  <c r="H20" i="22"/>
  <c r="H92" i="22"/>
  <c r="H7" i="22"/>
  <c r="L78" i="22"/>
  <c r="L92" i="22"/>
  <c r="L64" i="22"/>
  <c r="L81" i="22"/>
  <c r="L77" i="22"/>
  <c r="H50" i="22"/>
  <c r="H33" i="22"/>
  <c r="H53" i="22"/>
  <c r="H24" i="22"/>
  <c r="H19" i="22"/>
  <c r="H26" i="22"/>
  <c r="H25" i="22"/>
  <c r="H87" i="22"/>
  <c r="H95" i="22"/>
  <c r="H70" i="22"/>
  <c r="H76" i="22"/>
  <c r="L95" i="22"/>
  <c r="L102" i="22"/>
  <c r="H60" i="22"/>
  <c r="H52" i="22"/>
  <c r="H41" i="22"/>
  <c r="H58" i="22"/>
  <c r="L66" i="22"/>
  <c r="H66" i="22"/>
  <c r="H73" i="22"/>
  <c r="L59" i="22"/>
  <c r="H51" i="22"/>
  <c r="H49" i="22"/>
  <c r="H8" i="22"/>
  <c r="AM12" i="11" a="1"/>
  <c r="AM12" i="11" s="1"/>
  <c r="AM13" i="11" s="1" a="1"/>
  <c r="AM13" i="11" s="1"/>
  <c r="H4" i="22"/>
  <c r="AD127" i="32" l="1"/>
  <c r="AG127" i="32" s="1"/>
  <c r="AH127" i="32" s="1"/>
  <c r="AD137" i="50"/>
  <c r="AG137" i="50" s="1"/>
  <c r="AG198" i="57"/>
  <c r="X196" i="57"/>
  <c r="AB196" i="57" s="1"/>
  <c r="AG12" i="32"/>
  <c r="F64" i="22"/>
  <c r="F98" i="22"/>
  <c r="AF195" i="57"/>
  <c r="AB195" i="57"/>
  <c r="M199" i="53"/>
  <c r="AC199" i="53" s="1"/>
  <c r="O199" i="53"/>
  <c r="F46" i="22"/>
  <c r="Q259" i="11"/>
  <c r="AP183" i="69"/>
  <c r="N183" i="69"/>
  <c r="U183" i="69" s="1"/>
  <c r="Q197" i="57"/>
  <c r="T197" i="57" s="1"/>
  <c r="AJ197" i="57"/>
  <c r="AD197" i="57"/>
  <c r="R197" i="57"/>
  <c r="X11" i="11"/>
  <c r="AQ197" i="57"/>
  <c r="AC197" i="57"/>
  <c r="AE197" i="57"/>
  <c r="M198" i="57"/>
  <c r="AK198" i="57" s="1"/>
  <c r="Q138" i="50"/>
  <c r="P138" i="50" s="1"/>
  <c r="Q128" i="32"/>
  <c r="P128" i="32" s="1"/>
  <c r="F47" i="22"/>
  <c r="F41" i="22"/>
  <c r="F134" i="22"/>
  <c r="AL18" i="22" s="1"/>
  <c r="D52" i="36" s="1"/>
  <c r="F28" i="22"/>
  <c r="F94" i="22"/>
  <c r="F32" i="22"/>
  <c r="N199" i="53"/>
  <c r="F48" i="22"/>
  <c r="F8" i="22"/>
  <c r="T129" i="32"/>
  <c r="O129" i="32"/>
  <c r="T139" i="50"/>
  <c r="O139" i="50"/>
  <c r="AA197" i="53"/>
  <c r="AB197" i="53"/>
  <c r="AP135" i="50"/>
  <c r="AM128" i="32"/>
  <c r="F60" i="22"/>
  <c r="F78" i="22"/>
  <c r="J134" i="22"/>
  <c r="F95" i="22"/>
  <c r="AJ137" i="50"/>
  <c r="C137" i="50"/>
  <c r="S138" i="50"/>
  <c r="Z138" i="50" s="1"/>
  <c r="F53" i="22"/>
  <c r="F92" i="22"/>
  <c r="F113" i="22"/>
  <c r="F115" i="22"/>
  <c r="F114" i="22"/>
  <c r="F133" i="22"/>
  <c r="F29" i="22"/>
  <c r="F54" i="22"/>
  <c r="F44" i="22"/>
  <c r="F30" i="22"/>
  <c r="C127" i="32"/>
  <c r="W127" i="32"/>
  <c r="X127" i="32" s="1"/>
  <c r="AJ127" i="32"/>
  <c r="S128" i="32"/>
  <c r="Z128" i="32" s="1"/>
  <c r="W137" i="50"/>
  <c r="F82" i="22"/>
  <c r="F85" i="22"/>
  <c r="F55" i="22"/>
  <c r="F80" i="22"/>
  <c r="J113" i="22"/>
  <c r="AX66" i="22" s="1"/>
  <c r="F33" i="22"/>
  <c r="F102" i="22"/>
  <c r="F38" i="22"/>
  <c r="X136" i="50"/>
  <c r="V137" i="50"/>
  <c r="V127" i="32"/>
  <c r="AF182" i="69"/>
  <c r="Q182" i="69"/>
  <c r="O199" i="57"/>
  <c r="P199" i="57"/>
  <c r="AC180" i="69"/>
  <c r="AD180" i="69" s="1"/>
  <c r="AH136" i="50"/>
  <c r="AI136" i="50" s="1"/>
  <c r="AB181" i="69"/>
  <c r="AG181" i="69"/>
  <c r="O184" i="69"/>
  <c r="AO183" i="69"/>
  <c r="AK139" i="50"/>
  <c r="AF197" i="53"/>
  <c r="AE198" i="53"/>
  <c r="AK129" i="32"/>
  <c r="AM138" i="50"/>
  <c r="AL126" i="32"/>
  <c r="F73" i="22"/>
  <c r="F15" i="22"/>
  <c r="F79" i="22"/>
  <c r="F76" i="22"/>
  <c r="AL17" i="22" s="1"/>
  <c r="D53" i="36" s="1"/>
  <c r="D92" i="36" s="1"/>
  <c r="F63" i="22"/>
  <c r="F67" i="22"/>
  <c r="F66" i="22"/>
  <c r="F71" i="22"/>
  <c r="F90" i="22"/>
  <c r="F109" i="22"/>
  <c r="F14" i="22"/>
  <c r="F23" i="22"/>
  <c r="AI125" i="32"/>
  <c r="AN125" i="32" s="1"/>
  <c r="F131" i="22"/>
  <c r="F75" i="22"/>
  <c r="R198" i="53"/>
  <c r="X198" i="53" s="1"/>
  <c r="F20" i="22"/>
  <c r="F96" i="22"/>
  <c r="AL136" i="50"/>
  <c r="F34" i="22"/>
  <c r="F19" i="22"/>
  <c r="N12" i="32"/>
  <c r="J67" i="22"/>
  <c r="AX129" i="22" s="1"/>
  <c r="J86" i="22"/>
  <c r="AX16" i="22" s="1"/>
  <c r="J115" i="22"/>
  <c r="AX68" i="22" s="1"/>
  <c r="AY182" i="69"/>
  <c r="L199" i="57"/>
  <c r="AH198" i="53"/>
  <c r="AT198" i="53"/>
  <c r="AG198" i="53"/>
  <c r="N199" i="57"/>
  <c r="AH182" i="69"/>
  <c r="Q198" i="53"/>
  <c r="AD198" i="53"/>
  <c r="AK198" i="52" a="1"/>
  <c r="AK198" i="52" s="1"/>
  <c r="B200" i="53" s="1"/>
  <c r="G199" i="53"/>
  <c r="D199" i="53"/>
  <c r="J199" i="53"/>
  <c r="I199" i="53"/>
  <c r="C199" i="53"/>
  <c r="F199" i="53"/>
  <c r="L199" i="53"/>
  <c r="H199" i="53"/>
  <c r="E199" i="53"/>
  <c r="P199" i="53"/>
  <c r="K199" i="53"/>
  <c r="A129" i="32"/>
  <c r="B129" i="32"/>
  <c r="R129" i="32" s="1"/>
  <c r="I139" i="50"/>
  <c r="N139" i="50"/>
  <c r="H139" i="50"/>
  <c r="A139" i="50"/>
  <c r="L139" i="50"/>
  <c r="B139" i="50"/>
  <c r="R139" i="50" s="1"/>
  <c r="G139" i="50"/>
  <c r="F139" i="50"/>
  <c r="U139" i="50" s="1"/>
  <c r="K139" i="50"/>
  <c r="M139" i="50"/>
  <c r="J139" i="50"/>
  <c r="I129" i="32"/>
  <c r="J129" i="32"/>
  <c r="L129" i="32"/>
  <c r="F129" i="32"/>
  <c r="U129" i="32" s="1"/>
  <c r="N129" i="32"/>
  <c r="H129" i="32"/>
  <c r="K129" i="32"/>
  <c r="G129" i="32"/>
  <c r="M129" i="32"/>
  <c r="I199" i="57"/>
  <c r="F199" i="57"/>
  <c r="D199" i="57"/>
  <c r="H199" i="57"/>
  <c r="E199" i="57"/>
  <c r="J199" i="57"/>
  <c r="G199" i="57"/>
  <c r="K199" i="57"/>
  <c r="C199" i="57"/>
  <c r="AN198" i="55" a="1"/>
  <c r="AN198" i="55" s="1"/>
  <c r="B200" i="57" s="1"/>
  <c r="AR184" i="67" a="1"/>
  <c r="AR184" i="67" s="1"/>
  <c r="B185" i="69"/>
  <c r="L185" i="69" s="1"/>
  <c r="D183" i="69"/>
  <c r="E183" i="69" s="1"/>
  <c r="F183" i="69" s="1"/>
  <c r="G183" i="69" s="1"/>
  <c r="H183" i="69" s="1"/>
  <c r="I183" i="69" s="1"/>
  <c r="J183" i="69" s="1"/>
  <c r="K183" i="69" s="1"/>
  <c r="M183" i="69" s="1"/>
  <c r="C184" i="69"/>
  <c r="P184" i="69" s="1"/>
  <c r="R182" i="69"/>
  <c r="S182" i="69" s="1"/>
  <c r="AE182" i="69"/>
  <c r="J104" i="22"/>
  <c r="AX62" i="22" s="1"/>
  <c r="D70" i="36"/>
  <c r="J103" i="22"/>
  <c r="AX61" i="22" s="1"/>
  <c r="D68" i="36"/>
  <c r="AL129" i="11" a="1"/>
  <c r="AL129" i="11" s="1"/>
  <c r="E130" i="32" s="1"/>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s="1"/>
  <c r="E140" i="50" s="1"/>
  <c r="J101" i="22"/>
  <c r="AX60" i="22" s="1"/>
  <c r="J6" i="22"/>
  <c r="AX82" i="22" s="1"/>
  <c r="J11" i="22"/>
  <c r="AX115" i="22" s="1"/>
  <c r="J9" i="22"/>
  <c r="AX118" i="22" s="1"/>
  <c r="J82" i="22"/>
  <c r="AX12" i="22" s="1"/>
  <c r="J37" i="22"/>
  <c r="AX149" i="22" s="1"/>
  <c r="J36" i="22"/>
  <c r="AX36" i="22" s="1"/>
  <c r="J44" i="22"/>
  <c r="AX41" i="22" s="1"/>
  <c r="J47" i="22"/>
  <c r="AX44" i="22" s="1"/>
  <c r="J46" i="22"/>
  <c r="AX43" i="22" s="1"/>
  <c r="J97" i="22"/>
  <c r="AX100" i="22" s="1"/>
  <c r="J85" i="22"/>
  <c r="AX15" i="22" s="1"/>
  <c r="J57" i="22"/>
  <c r="AX11" i="22" s="1"/>
  <c r="AQ29" i="59" a="1"/>
  <c r="AQ29" i="59" s="1"/>
  <c r="J84" i="22"/>
  <c r="AX14" i="22" s="1"/>
  <c r="J54" i="22"/>
  <c r="AX123" i="22" s="1"/>
  <c r="J23" i="22"/>
  <c r="AX33" i="22" s="1"/>
  <c r="J7" i="22"/>
  <c r="AX83" i="22" s="1"/>
  <c r="J92" i="22"/>
  <c r="AX54" i="22" s="1"/>
  <c r="J33" i="22"/>
  <c r="AX92" i="22" s="1"/>
  <c r="J16" i="22"/>
  <c r="AX31" i="22" s="1"/>
  <c r="J19" i="22"/>
  <c r="AX6" i="22" s="1"/>
  <c r="J24" i="22"/>
  <c r="AX86" i="22" s="1"/>
  <c r="J26" i="22"/>
  <c r="AX7" i="22" s="1"/>
  <c r="J60" i="22"/>
  <c r="AX125" i="22" s="1"/>
  <c r="J76" i="22"/>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AM14" i="11" a="1"/>
  <c r="AM14" i="11" s="1"/>
  <c r="J102" i="22" l="1"/>
  <c r="AX19" i="22" s="1"/>
  <c r="J135" i="22"/>
  <c r="AX80" i="22" s="1"/>
  <c r="Y182" i="69"/>
  <c r="AB182" i="69" s="1"/>
  <c r="AC182" i="69" s="1"/>
  <c r="AD182" i="69" s="1"/>
  <c r="AD128" i="32"/>
  <c r="AG128" i="32" s="1"/>
  <c r="AH128" i="32" s="1"/>
  <c r="AD138" i="50"/>
  <c r="AG138" i="50" s="1"/>
  <c r="AG199" i="57"/>
  <c r="X197" i="57"/>
  <c r="AB197" i="57" s="1"/>
  <c r="AH12" i="32"/>
  <c r="AI12" i="32" s="1"/>
  <c r="AK12" i="32"/>
  <c r="AL12" i="32" s="1"/>
  <c r="X259" i="11"/>
  <c r="J117" i="22"/>
  <c r="AX73" i="22" s="1"/>
  <c r="AF196" i="57"/>
  <c r="AA196" i="57"/>
  <c r="M200" i="53"/>
  <c r="AC200" i="53" s="1"/>
  <c r="O200" i="53"/>
  <c r="AP184" i="69"/>
  <c r="N184" i="69"/>
  <c r="U184" i="69" s="1"/>
  <c r="AJ198" i="57"/>
  <c r="R198" i="57"/>
  <c r="AC198" i="57"/>
  <c r="AD198" i="57"/>
  <c r="Q198" i="57"/>
  <c r="T198" i="57" s="1"/>
  <c r="AQ198" i="57"/>
  <c r="M199" i="57"/>
  <c r="AK199" i="57" s="1"/>
  <c r="AE198" i="57"/>
  <c r="Q139" i="50"/>
  <c r="P139" i="50" s="1"/>
  <c r="Q129" i="32"/>
  <c r="P129" i="32" s="1"/>
  <c r="N200" i="53"/>
  <c r="T130" i="32"/>
  <c r="O130" i="32"/>
  <c r="T140" i="50"/>
  <c r="O140" i="50"/>
  <c r="AA198" i="53"/>
  <c r="AB198" i="53"/>
  <c r="AP136" i="50"/>
  <c r="AM129" i="32"/>
  <c r="S139" i="50"/>
  <c r="Z139" i="50" s="1"/>
  <c r="C138" i="50"/>
  <c r="AJ138" i="50"/>
  <c r="J80" i="22"/>
  <c r="AX134" i="22" s="1"/>
  <c r="J114" i="22"/>
  <c r="AX67" i="22" s="1"/>
  <c r="C128" i="32"/>
  <c r="AJ128" i="32"/>
  <c r="W128" i="32"/>
  <c r="X128" i="32" s="1"/>
  <c r="S129" i="32"/>
  <c r="Z129" i="32" s="1"/>
  <c r="W138" i="50"/>
  <c r="J38" i="22"/>
  <c r="J55" i="22"/>
  <c r="AX151" i="22" s="1"/>
  <c r="X137" i="50"/>
  <c r="V138" i="50"/>
  <c r="V128" i="32"/>
  <c r="AF183" i="69"/>
  <c r="Q183" i="69"/>
  <c r="O200" i="57"/>
  <c r="P200" i="57"/>
  <c r="AC181" i="69"/>
  <c r="AD181" i="69" s="1"/>
  <c r="AH137" i="50"/>
  <c r="AI137" i="50" s="1"/>
  <c r="AO184" i="69"/>
  <c r="O185" i="69"/>
  <c r="AK140" i="50"/>
  <c r="AE199" i="53"/>
  <c r="AF198" i="53"/>
  <c r="AK130" i="32"/>
  <c r="AM139" i="50"/>
  <c r="AL127" i="32"/>
  <c r="J15" i="22"/>
  <c r="AX120" i="22" s="1"/>
  <c r="J75" i="22"/>
  <c r="AX132" i="22" s="1"/>
  <c r="J79" i="22"/>
  <c r="AX136" i="22" s="1"/>
  <c r="J63" i="22"/>
  <c r="AX150" i="22" s="1"/>
  <c r="J90" i="22"/>
  <c r="AX52" i="22" s="1"/>
  <c r="J109" i="22"/>
  <c r="AX22" i="22" s="1"/>
  <c r="R199" i="53"/>
  <c r="X199" i="53" s="1"/>
  <c r="J34" i="22"/>
  <c r="AX8" i="22" s="1"/>
  <c r="J131" i="22"/>
  <c r="AX147" i="22" s="1"/>
  <c r="AL137" i="50"/>
  <c r="AQ11" i="11"/>
  <c r="AI126" i="32"/>
  <c r="AN126" i="32" s="1"/>
  <c r="AY183" i="69"/>
  <c r="L200" i="57"/>
  <c r="AH199" i="53"/>
  <c r="AT199" i="53"/>
  <c r="AG199" i="53"/>
  <c r="N200" i="57"/>
  <c r="AH183" i="69"/>
  <c r="AD199" i="53"/>
  <c r="Q199" i="53"/>
  <c r="AK199" i="52" a="1"/>
  <c r="AK199" i="52" s="1"/>
  <c r="B201" i="53" s="1"/>
  <c r="E200" i="53"/>
  <c r="C200" i="53"/>
  <c r="D200" i="53"/>
  <c r="G200" i="53"/>
  <c r="H200" i="53"/>
  <c r="L200" i="53"/>
  <c r="J200" i="53"/>
  <c r="P200" i="53"/>
  <c r="K200" i="53"/>
  <c r="I200" i="53"/>
  <c r="F200" i="53"/>
  <c r="A130" i="32"/>
  <c r="B130" i="32"/>
  <c r="R130" i="32" s="1"/>
  <c r="H140" i="50"/>
  <c r="A140" i="50"/>
  <c r="G140" i="50"/>
  <c r="N140" i="50"/>
  <c r="M140" i="50"/>
  <c r="F140" i="50"/>
  <c r="U140" i="50" s="1"/>
  <c r="K140" i="50"/>
  <c r="I140" i="50"/>
  <c r="L140" i="50"/>
  <c r="B140" i="50"/>
  <c r="R140" i="50" s="1"/>
  <c r="J140" i="50"/>
  <c r="G130" i="32"/>
  <c r="H130" i="32"/>
  <c r="J130" i="32"/>
  <c r="L130" i="32"/>
  <c r="I130" i="32"/>
  <c r="N130" i="32"/>
  <c r="F130" i="32"/>
  <c r="U130" i="32" s="1"/>
  <c r="K130" i="32"/>
  <c r="M130" i="32"/>
  <c r="H200" i="57"/>
  <c r="F200" i="57"/>
  <c r="D200" i="57"/>
  <c r="C200" i="57"/>
  <c r="K200" i="57"/>
  <c r="J200" i="57"/>
  <c r="E200" i="57"/>
  <c r="I200" i="57"/>
  <c r="G200" i="57"/>
  <c r="J116" i="22"/>
  <c r="AX139" i="22" s="1"/>
  <c r="J10" i="22"/>
  <c r="AX114" i="22" s="1"/>
  <c r="AN199" i="55" a="1"/>
  <c r="AN199" i="55" s="1"/>
  <c r="B201" i="57" s="1"/>
  <c r="J133" i="22"/>
  <c r="AX103" i="22" s="1"/>
  <c r="AE183" i="69"/>
  <c r="R183" i="69"/>
  <c r="S183" i="69" s="1"/>
  <c r="Y183" i="69" s="1"/>
  <c r="C185" i="69"/>
  <c r="P185" i="69" s="1"/>
  <c r="D184" i="69"/>
  <c r="E184" i="69" s="1"/>
  <c r="F184" i="69" s="1"/>
  <c r="G184" i="69" s="1"/>
  <c r="H184" i="69" s="1"/>
  <c r="I184" i="69" s="1"/>
  <c r="J184" i="69" s="1"/>
  <c r="K184" i="69" s="1"/>
  <c r="M184" i="69" s="1"/>
  <c r="AR185" i="67" a="1"/>
  <c r="AR185" i="67" s="1"/>
  <c r="B186" i="69"/>
  <c r="L186" i="69" s="1"/>
  <c r="AL7" i="22"/>
  <c r="J100" i="22"/>
  <c r="AX59" i="22" s="1"/>
  <c r="J13" i="22"/>
  <c r="AX117" i="22" s="1"/>
  <c r="D69" i="36"/>
  <c r="D64" i="36"/>
  <c r="D66" i="36"/>
  <c r="D62" i="36"/>
  <c r="AL14" i="22"/>
  <c r="AL15" i="22"/>
  <c r="AL9" i="22"/>
  <c r="AL130" i="11" a="1"/>
  <c r="AL130" i="11" s="1"/>
  <c r="E131" i="32" s="1"/>
  <c r="J32" i="22"/>
  <c r="AX35" i="22" s="1"/>
  <c r="J127" i="22"/>
  <c r="AX145" i="22" s="1"/>
  <c r="J51" i="22"/>
  <c r="AX10" i="22" s="1"/>
  <c r="D63" i="36"/>
  <c r="J53" i="22"/>
  <c r="AX47" i="22" s="1"/>
  <c r="J31" i="22"/>
  <c r="AX91" i="22" s="1"/>
  <c r="J17" i="22"/>
  <c r="AX32" i="22" s="1"/>
  <c r="J4" i="22"/>
  <c r="AX79" i="22" s="1"/>
  <c r="J5" i="22"/>
  <c r="AX81" i="22" s="1"/>
  <c r="J14" i="22"/>
  <c r="AX30" i="22" s="1"/>
  <c r="AP140" i="59" a="1"/>
  <c r="AP140" i="59" s="1"/>
  <c r="E141" i="50" s="1"/>
  <c r="J20" i="22"/>
  <c r="AX119" i="22" s="1"/>
  <c r="AQ30" i="59" a="1"/>
  <c r="AQ30" i="59" s="1"/>
  <c r="AM15" i="11" a="1"/>
  <c r="AM15" i="11" s="1"/>
  <c r="AX104" i="22" l="1"/>
  <c r="AX105" i="22"/>
  <c r="AD139" i="50"/>
  <c r="AG139" i="50" s="1"/>
  <c r="AG182" i="69"/>
  <c r="AB183" i="69"/>
  <c r="AC183" i="69" s="1"/>
  <c r="AD183" i="69" s="1"/>
  <c r="AD129" i="32"/>
  <c r="AG129" i="32" s="1"/>
  <c r="AH129" i="32" s="1"/>
  <c r="AA197" i="57"/>
  <c r="AG200" i="57"/>
  <c r="X198" i="57"/>
  <c r="AB198" i="57" s="1"/>
  <c r="AM12" i="32"/>
  <c r="AN12" i="32" s="1"/>
  <c r="AF197" i="57"/>
  <c r="M201" i="53"/>
  <c r="AC201" i="53" s="1"/>
  <c r="O201" i="53"/>
  <c r="AP185" i="69"/>
  <c r="N185" i="69"/>
  <c r="U185" i="69" s="1"/>
  <c r="Q199" i="57"/>
  <c r="T199" i="57" s="1"/>
  <c r="AQ199" i="57"/>
  <c r="AJ199" i="57"/>
  <c r="AE199" i="57"/>
  <c r="AD199" i="57"/>
  <c r="R199" i="57"/>
  <c r="D30" i="36"/>
  <c r="AC199" i="57"/>
  <c r="M200" i="57"/>
  <c r="AK200" i="57" s="1"/>
  <c r="Q140" i="50"/>
  <c r="P140" i="50" s="1"/>
  <c r="Q130" i="32"/>
  <c r="P130" i="32" s="1"/>
  <c r="N201" i="53"/>
  <c r="T131" i="32"/>
  <c r="O131" i="32"/>
  <c r="T141" i="50"/>
  <c r="O141" i="50"/>
  <c r="AA199" i="53"/>
  <c r="AB199" i="53"/>
  <c r="AP137" i="50"/>
  <c r="AM130" i="32"/>
  <c r="AJ139" i="50"/>
  <c r="C139" i="50"/>
  <c r="S140" i="50"/>
  <c r="Z140" i="50" s="1"/>
  <c r="C129" i="32"/>
  <c r="AJ129" i="32"/>
  <c r="S130" i="32"/>
  <c r="Z130" i="32" s="1"/>
  <c r="W139" i="50"/>
  <c r="W129" i="32"/>
  <c r="X129" i="32" s="1"/>
  <c r="X138" i="50"/>
  <c r="V139" i="50"/>
  <c r="AF184" i="69"/>
  <c r="Q184" i="69"/>
  <c r="O201" i="57"/>
  <c r="P201" i="57"/>
  <c r="AH138" i="50"/>
  <c r="AI138" i="50" s="1"/>
  <c r="O186" i="69"/>
  <c r="AG183" i="69"/>
  <c r="AO185" i="69"/>
  <c r="AK141" i="50"/>
  <c r="AE200" i="53"/>
  <c r="AF199" i="53"/>
  <c r="AK131" i="32"/>
  <c r="AM140" i="50"/>
  <c r="AL128" i="32"/>
  <c r="AI127" i="32"/>
  <c r="AN127" i="32" s="1"/>
  <c r="R200" i="53"/>
  <c r="X200" i="53" s="1"/>
  <c r="AL138" i="50"/>
  <c r="AY184" i="69"/>
  <c r="L201" i="57"/>
  <c r="AG200" i="53"/>
  <c r="AH200" i="53"/>
  <c r="AT200" i="53"/>
  <c r="N201" i="57"/>
  <c r="E201" i="53"/>
  <c r="AH184" i="69"/>
  <c r="V129" i="32"/>
  <c r="AD200" i="53"/>
  <c r="L17" i="22"/>
  <c r="Q200" i="53"/>
  <c r="AK200" i="52" a="1"/>
  <c r="AK200" i="52" s="1"/>
  <c r="B202" i="53" s="1"/>
  <c r="H201" i="53"/>
  <c r="L201" i="53"/>
  <c r="F201" i="53"/>
  <c r="K201" i="53"/>
  <c r="I201" i="53"/>
  <c r="D201" i="53"/>
  <c r="P201" i="53"/>
  <c r="C201" i="53"/>
  <c r="J201" i="53"/>
  <c r="G201" i="53"/>
  <c r="A131" i="32"/>
  <c r="B131" i="32"/>
  <c r="R131" i="32" s="1"/>
  <c r="M141" i="50"/>
  <c r="A141" i="50"/>
  <c r="J141" i="50"/>
  <c r="F141" i="50"/>
  <c r="U141" i="50" s="1"/>
  <c r="H141" i="50"/>
  <c r="I141" i="50"/>
  <c r="N141" i="50"/>
  <c r="B141" i="50"/>
  <c r="R141" i="50" s="1"/>
  <c r="G141" i="50"/>
  <c r="K141" i="50"/>
  <c r="L141" i="50"/>
  <c r="F131" i="32"/>
  <c r="U131" i="32" s="1"/>
  <c r="J131" i="32"/>
  <c r="M131" i="32"/>
  <c r="N131" i="32"/>
  <c r="I131" i="32"/>
  <c r="H131" i="32"/>
  <c r="K131" i="32"/>
  <c r="G131" i="32"/>
  <c r="L131" i="32"/>
  <c r="J201" i="57"/>
  <c r="H201" i="57"/>
  <c r="E201" i="57"/>
  <c r="K201" i="57"/>
  <c r="G201" i="57"/>
  <c r="C201" i="57"/>
  <c r="F201" i="57"/>
  <c r="I201" i="57"/>
  <c r="D201" i="57"/>
  <c r="AL13" i="22"/>
  <c r="AL16" i="22"/>
  <c r="AN200" i="55" a="1"/>
  <c r="AN200" i="55" s="1"/>
  <c r="B202" i="57" s="1"/>
  <c r="AR186" i="67" a="1"/>
  <c r="AR186" i="67" s="1"/>
  <c r="B187" i="69"/>
  <c r="L187" i="69" s="1"/>
  <c r="C186" i="69"/>
  <c r="P186" i="69" s="1"/>
  <c r="D185" i="69"/>
  <c r="E185" i="69" s="1"/>
  <c r="F185" i="69" s="1"/>
  <c r="G185" i="69" s="1"/>
  <c r="H185" i="69" s="1"/>
  <c r="I185" i="69" s="1"/>
  <c r="J185" i="69" s="1"/>
  <c r="K185" i="69" s="1"/>
  <c r="M185" i="69" s="1"/>
  <c r="R184" i="69"/>
  <c r="S184" i="69" s="1"/>
  <c r="Y184" i="69" s="1"/>
  <c r="AE184" i="69"/>
  <c r="AL11" i="22"/>
  <c r="D60" i="36"/>
  <c r="D61" i="36"/>
  <c r="D67" i="36"/>
  <c r="AL12" i="22"/>
  <c r="AL8" i="22"/>
  <c r="AL6" i="22"/>
  <c r="AL4" i="22"/>
  <c r="AL131" i="11" a="1"/>
  <c r="AL131" i="11" s="1"/>
  <c r="E132" i="32" s="1"/>
  <c r="AP141" i="59" a="1"/>
  <c r="AP141" i="59" s="1"/>
  <c r="E142" i="50" s="1"/>
  <c r="AQ31" i="59" a="1"/>
  <c r="AQ31" i="59" s="1"/>
  <c r="AM16" i="11" a="1"/>
  <c r="AM16" i="11" s="1"/>
  <c r="AD130" i="32" l="1"/>
  <c r="AG130" i="32" s="1"/>
  <c r="AH130" i="32" s="1"/>
  <c r="AD140" i="50"/>
  <c r="AG140" i="50" s="1"/>
  <c r="X199" i="57"/>
  <c r="AB199" i="57" s="1"/>
  <c r="AG201" i="57"/>
  <c r="AA198" i="57"/>
  <c r="AF198" i="57"/>
  <c r="M202" i="53"/>
  <c r="AC202" i="53" s="1"/>
  <c r="O202" i="53"/>
  <c r="AP186" i="69"/>
  <c r="N186" i="69"/>
  <c r="U186" i="69" s="1"/>
  <c r="AC200" i="57"/>
  <c r="AD200" i="57"/>
  <c r="AQ200" i="57"/>
  <c r="AE200" i="57"/>
  <c r="Q200" i="57"/>
  <c r="T200" i="57" s="1"/>
  <c r="R200" i="57"/>
  <c r="AJ200" i="57"/>
  <c r="M201" i="57"/>
  <c r="AK201" i="57" s="1"/>
  <c r="Q141" i="50"/>
  <c r="P141" i="50" s="1"/>
  <c r="Q131" i="32"/>
  <c r="P131" i="32" s="1"/>
  <c r="N202" i="53"/>
  <c r="T132" i="32"/>
  <c r="O132" i="32"/>
  <c r="T142" i="50"/>
  <c r="O142" i="50"/>
  <c r="AA200" i="53"/>
  <c r="AB200" i="53"/>
  <c r="AP138" i="50"/>
  <c r="AM131" i="32"/>
  <c r="AJ140" i="50"/>
  <c r="C140" i="50"/>
  <c r="S141" i="50"/>
  <c r="Z141" i="50" s="1"/>
  <c r="W130" i="32"/>
  <c r="X130" i="32" s="1"/>
  <c r="C130" i="32"/>
  <c r="S131" i="32"/>
  <c r="Z131" i="32" s="1"/>
  <c r="AJ130" i="32"/>
  <c r="D51" i="36"/>
  <c r="D90" i="36" s="1"/>
  <c r="D91" i="36"/>
  <c r="W140" i="50"/>
  <c r="X139" i="50"/>
  <c r="V140" i="50"/>
  <c r="V130" i="32"/>
  <c r="AF185" i="69"/>
  <c r="Q185" i="69"/>
  <c r="O202" i="57"/>
  <c r="P202" i="57"/>
  <c r="AH139" i="50"/>
  <c r="AI139" i="50" s="1"/>
  <c r="AB184" i="69"/>
  <c r="AG184" i="69"/>
  <c r="AO186" i="69"/>
  <c r="O187" i="69"/>
  <c r="AK142" i="50"/>
  <c r="AE201" i="53"/>
  <c r="AF200" i="53"/>
  <c r="AK132" i="32"/>
  <c r="AM141" i="50"/>
  <c r="AL129" i="32"/>
  <c r="AI128" i="32"/>
  <c r="AN128" i="32" s="1"/>
  <c r="R201" i="53"/>
  <c r="X201" i="53" s="1"/>
  <c r="AL139" i="50"/>
  <c r="AY185" i="69"/>
  <c r="L202" i="57"/>
  <c r="AH201" i="53"/>
  <c r="AT201" i="53"/>
  <c r="AG201" i="53"/>
  <c r="N202" i="57"/>
  <c r="F202" i="53"/>
  <c r="AH185" i="69"/>
  <c r="AD201" i="53"/>
  <c r="C202" i="53"/>
  <c r="D202" i="53"/>
  <c r="H202" i="53"/>
  <c r="AK201" i="52" a="1"/>
  <c r="AK201" i="52" s="1"/>
  <c r="B203" i="53" s="1"/>
  <c r="K202" i="53"/>
  <c r="I202" i="53"/>
  <c r="Q201" i="53"/>
  <c r="J202" i="53"/>
  <c r="P202" i="53"/>
  <c r="G202" i="53"/>
  <c r="E202" i="53"/>
  <c r="L202" i="53"/>
  <c r="A132" i="32"/>
  <c r="B132" i="32"/>
  <c r="R132" i="32" s="1"/>
  <c r="L142" i="50"/>
  <c r="I142" i="50"/>
  <c r="M142" i="50"/>
  <c r="J142" i="50"/>
  <c r="A142" i="50"/>
  <c r="K142" i="50"/>
  <c r="F142" i="50"/>
  <c r="U142" i="50" s="1"/>
  <c r="G142" i="50"/>
  <c r="B142" i="50"/>
  <c r="R142" i="50" s="1"/>
  <c r="N142" i="50"/>
  <c r="H142" i="50"/>
  <c r="H132" i="32"/>
  <c r="K132" i="32"/>
  <c r="L132" i="32"/>
  <c r="G132" i="32"/>
  <c r="I132" i="32"/>
  <c r="N132" i="32"/>
  <c r="F132" i="32"/>
  <c r="U132" i="32" s="1"/>
  <c r="J132" i="32"/>
  <c r="M132" i="32"/>
  <c r="J202" i="57"/>
  <c r="D202" i="57"/>
  <c r="I202" i="57"/>
  <c r="F202" i="57"/>
  <c r="E202" i="57"/>
  <c r="K202" i="57"/>
  <c r="H202" i="57"/>
  <c r="C202" i="57"/>
  <c r="G202" i="57"/>
  <c r="AN201" i="55" a="1"/>
  <c r="AN201" i="55" s="1"/>
  <c r="B203" i="57" s="1"/>
  <c r="AR187" i="67" a="1"/>
  <c r="AR187" i="67" s="1"/>
  <c r="B188" i="69"/>
  <c r="L188" i="69" s="1"/>
  <c r="AE185" i="69"/>
  <c r="R185" i="69"/>
  <c r="S185" i="69" s="1"/>
  <c r="Y185" i="69" s="1"/>
  <c r="C187" i="69"/>
  <c r="P187" i="69" s="1"/>
  <c r="D186" i="69"/>
  <c r="E186" i="69" s="1"/>
  <c r="F186" i="69" s="1"/>
  <c r="G186" i="69" s="1"/>
  <c r="H186" i="69" s="1"/>
  <c r="I186" i="69" s="1"/>
  <c r="J186" i="69" s="1"/>
  <c r="K186" i="69" s="1"/>
  <c r="M186" i="69" s="1"/>
  <c r="AL132" i="11" a="1"/>
  <c r="AL132" i="11" s="1"/>
  <c r="E133" i="32" s="1"/>
  <c r="AP142" i="59" a="1"/>
  <c r="AP142" i="59" s="1"/>
  <c r="E143" i="50" s="1"/>
  <c r="AQ32" i="59" a="1"/>
  <c r="AQ32" i="59" s="1"/>
  <c r="AM17" i="11" a="1"/>
  <c r="AM17" i="11" s="1"/>
  <c r="AA199" i="57" l="1"/>
  <c r="AD131" i="32"/>
  <c r="AG131" i="32" s="1"/>
  <c r="AH131" i="32" s="1"/>
  <c r="AD141" i="50"/>
  <c r="AG141" i="50" s="1"/>
  <c r="AG202" i="57"/>
  <c r="X200" i="57"/>
  <c r="AB200" i="57" s="1"/>
  <c r="AF199" i="57"/>
  <c r="M203" i="53"/>
  <c r="AC203" i="53" s="1"/>
  <c r="O203" i="53"/>
  <c r="AP187" i="69"/>
  <c r="N187" i="69"/>
  <c r="U187" i="69" s="1"/>
  <c r="AJ201" i="57"/>
  <c r="R201" i="57"/>
  <c r="AD201" i="57"/>
  <c r="Q201" i="57"/>
  <c r="T201" i="57" s="1"/>
  <c r="AE201" i="57"/>
  <c r="AQ201" i="57"/>
  <c r="AC201" i="57"/>
  <c r="M202" i="57"/>
  <c r="AK202" i="57" s="1"/>
  <c r="Q142" i="50"/>
  <c r="P142" i="50" s="1"/>
  <c r="Q132" i="32"/>
  <c r="P132" i="32" s="1"/>
  <c r="N203" i="53"/>
  <c r="T133" i="32"/>
  <c r="O133" i="32"/>
  <c r="T143" i="50"/>
  <c r="O143" i="50"/>
  <c r="AA201" i="53"/>
  <c r="AB201" i="53"/>
  <c r="AP139" i="50"/>
  <c r="AM132" i="32"/>
  <c r="C141" i="50"/>
  <c r="AJ141" i="50"/>
  <c r="S142" i="50"/>
  <c r="Z142" i="50" s="1"/>
  <c r="W131" i="32"/>
  <c r="X131" i="32" s="1"/>
  <c r="C131" i="32"/>
  <c r="AJ131" i="32"/>
  <c r="S132" i="32"/>
  <c r="Z132" i="32" s="1"/>
  <c r="W141" i="50"/>
  <c r="X140" i="50"/>
  <c r="V141" i="50"/>
  <c r="V131" i="32"/>
  <c r="AF186" i="69"/>
  <c r="Q186" i="69"/>
  <c r="O203" i="57"/>
  <c r="P203" i="57"/>
  <c r="AC184" i="69"/>
  <c r="AD184" i="69" s="1"/>
  <c r="AH140" i="50"/>
  <c r="AI140" i="50" s="1"/>
  <c r="AB185" i="69"/>
  <c r="AG185" i="69"/>
  <c r="O188" i="69"/>
  <c r="AO187" i="69"/>
  <c r="AK143" i="50"/>
  <c r="AF201" i="53"/>
  <c r="AE202" i="53"/>
  <c r="AK133" i="32"/>
  <c r="AM142" i="50"/>
  <c r="AL130" i="32"/>
  <c r="AI129" i="32"/>
  <c r="AN129" i="32" s="1"/>
  <c r="R202" i="53"/>
  <c r="X202" i="53" s="1"/>
  <c r="AL140" i="50"/>
  <c r="AY186" i="69"/>
  <c r="L203" i="57"/>
  <c r="AH202" i="53"/>
  <c r="AT202" i="53"/>
  <c r="AG202" i="53"/>
  <c r="N203" i="57"/>
  <c r="I203" i="53"/>
  <c r="AH186" i="69"/>
  <c r="Q202" i="53"/>
  <c r="AD202" i="53"/>
  <c r="J203" i="53"/>
  <c r="D203" i="53"/>
  <c r="C203" i="53"/>
  <c r="F203" i="53"/>
  <c r="E203" i="53"/>
  <c r="L203" i="53"/>
  <c r="H203" i="53"/>
  <c r="K203" i="53"/>
  <c r="G203" i="53"/>
  <c r="AK202" i="52" a="1"/>
  <c r="AK202" i="52" s="1"/>
  <c r="B204" i="53" s="1"/>
  <c r="P203" i="53"/>
  <c r="A133" i="32"/>
  <c r="B133" i="32"/>
  <c r="R133" i="32" s="1"/>
  <c r="J143" i="50"/>
  <c r="I143" i="50"/>
  <c r="H143" i="50"/>
  <c r="N143" i="50"/>
  <c r="M143" i="50"/>
  <c r="F143" i="50"/>
  <c r="U143" i="50" s="1"/>
  <c r="G143" i="50"/>
  <c r="A143" i="50"/>
  <c r="K143" i="50"/>
  <c r="L143" i="50"/>
  <c r="B143" i="50"/>
  <c r="R143" i="50" s="1"/>
  <c r="F133" i="32"/>
  <c r="U133" i="32" s="1"/>
  <c r="N133" i="32"/>
  <c r="I133" i="32"/>
  <c r="J133" i="32"/>
  <c r="M133" i="32"/>
  <c r="G133" i="32"/>
  <c r="L133" i="32"/>
  <c r="H133" i="32"/>
  <c r="K133" i="32"/>
  <c r="H203" i="57"/>
  <c r="D203" i="57"/>
  <c r="F203" i="57"/>
  <c r="K203" i="57"/>
  <c r="G203" i="57"/>
  <c r="C203" i="57"/>
  <c r="E203" i="57"/>
  <c r="J203" i="57"/>
  <c r="I203" i="57"/>
  <c r="AN202" i="55" a="1"/>
  <c r="AN202" i="55" s="1"/>
  <c r="B204" i="57" s="1"/>
  <c r="AR188" i="67" a="1"/>
  <c r="AR188" i="67" s="1"/>
  <c r="B189" i="69"/>
  <c r="L189" i="69" s="1"/>
  <c r="D187" i="69"/>
  <c r="E187" i="69" s="1"/>
  <c r="F187" i="69" s="1"/>
  <c r="G187" i="69" s="1"/>
  <c r="H187" i="69" s="1"/>
  <c r="I187" i="69" s="1"/>
  <c r="J187" i="69" s="1"/>
  <c r="K187" i="69" s="1"/>
  <c r="M187" i="69" s="1"/>
  <c r="R186" i="69"/>
  <c r="S186" i="69" s="1"/>
  <c r="Y186" i="69" s="1"/>
  <c r="AE186" i="69"/>
  <c r="C188" i="69"/>
  <c r="P188" i="69" s="1"/>
  <c r="AL133" i="11" a="1"/>
  <c r="AL133" i="11" s="1"/>
  <c r="E134" i="32" s="1"/>
  <c r="AP143" i="59" a="1"/>
  <c r="AP143" i="59" s="1"/>
  <c r="E144" i="50" s="1"/>
  <c r="AQ33" i="59" a="1"/>
  <c r="AQ33" i="59" s="1"/>
  <c r="AM18" i="11" a="1"/>
  <c r="AM18" i="11" s="1"/>
  <c r="AD132" i="32" l="1"/>
  <c r="AG132" i="32" s="1"/>
  <c r="AH132" i="32" s="1"/>
  <c r="AD142" i="50"/>
  <c r="AG142" i="50" s="1"/>
  <c r="X201" i="57"/>
  <c r="AB201" i="57" s="1"/>
  <c r="AG203" i="57"/>
  <c r="AA200" i="57"/>
  <c r="AF200" i="57"/>
  <c r="M204" i="53"/>
  <c r="AC204" i="53" s="1"/>
  <c r="O204" i="53"/>
  <c r="AP188" i="69"/>
  <c r="N188" i="69"/>
  <c r="U188" i="69" s="1"/>
  <c r="Q202" i="57"/>
  <c r="T202" i="57" s="1"/>
  <c r="AE202" i="57"/>
  <c r="AQ202" i="57"/>
  <c r="AD202" i="57"/>
  <c r="AJ202" i="57"/>
  <c r="R202" i="57"/>
  <c r="AC202" i="57"/>
  <c r="M203" i="57"/>
  <c r="AK203" i="57" s="1"/>
  <c r="Q143" i="50"/>
  <c r="P143" i="50" s="1"/>
  <c r="Q133" i="32"/>
  <c r="P133" i="32" s="1"/>
  <c r="N204" i="53"/>
  <c r="T134" i="32"/>
  <c r="O134" i="32"/>
  <c r="T144" i="50"/>
  <c r="O144" i="50"/>
  <c r="AA202" i="53"/>
  <c r="AB202" i="53"/>
  <c r="AP140" i="50"/>
  <c r="AM133" i="32"/>
  <c r="C142" i="50"/>
  <c r="AJ142" i="50"/>
  <c r="S143" i="50"/>
  <c r="Z143" i="50" s="1"/>
  <c r="C132" i="32"/>
  <c r="AJ132" i="32"/>
  <c r="W132" i="32"/>
  <c r="X132" i="32" s="1"/>
  <c r="S133" i="32"/>
  <c r="Z133" i="32" s="1"/>
  <c r="W142" i="50"/>
  <c r="X141" i="50"/>
  <c r="V142" i="50"/>
  <c r="V132" i="32"/>
  <c r="AF187" i="69"/>
  <c r="Q187" i="69"/>
  <c r="O204" i="57"/>
  <c r="P204" i="57"/>
  <c r="AC185" i="69"/>
  <c r="AD185" i="69" s="1"/>
  <c r="AH141" i="50"/>
  <c r="AI141" i="50" s="1"/>
  <c r="AB186" i="69"/>
  <c r="AG186" i="69"/>
  <c r="O189" i="69"/>
  <c r="AO188" i="69"/>
  <c r="AK144" i="50"/>
  <c r="AF202" i="53"/>
  <c r="AE203" i="53"/>
  <c r="AK134" i="32"/>
  <c r="AM143" i="50"/>
  <c r="AL131" i="32"/>
  <c r="R203" i="53"/>
  <c r="X203" i="53" s="1"/>
  <c r="AL141" i="50"/>
  <c r="AI130" i="32"/>
  <c r="AN130" i="32" s="1"/>
  <c r="AY187" i="69"/>
  <c r="L204" i="57"/>
  <c r="AH203" i="53"/>
  <c r="AT203" i="53"/>
  <c r="AG203" i="53"/>
  <c r="N204" i="57"/>
  <c r="AH187" i="69"/>
  <c r="Q203" i="53"/>
  <c r="AD203" i="53"/>
  <c r="J204" i="53"/>
  <c r="H204" i="53"/>
  <c r="P204" i="53"/>
  <c r="F204" i="53"/>
  <c r="L204" i="53"/>
  <c r="G204" i="53"/>
  <c r="I204" i="53"/>
  <c r="AK203" i="52" a="1"/>
  <c r="AK203" i="52" s="1"/>
  <c r="B205" i="53" s="1"/>
  <c r="D204" i="53"/>
  <c r="C204" i="53"/>
  <c r="K204" i="53"/>
  <c r="E204" i="53"/>
  <c r="A134" i="32"/>
  <c r="B134" i="32"/>
  <c r="R134" i="32" s="1"/>
  <c r="K144" i="50"/>
  <c r="B144" i="50"/>
  <c r="R144" i="50" s="1"/>
  <c r="F144" i="50"/>
  <c r="U144" i="50" s="1"/>
  <c r="G144" i="50"/>
  <c r="N144" i="50"/>
  <c r="I144" i="50"/>
  <c r="J144" i="50"/>
  <c r="A144" i="50"/>
  <c r="M144" i="50"/>
  <c r="H144" i="50"/>
  <c r="L144" i="50"/>
  <c r="L134" i="32"/>
  <c r="G134" i="32"/>
  <c r="H134" i="32"/>
  <c r="K134" i="32"/>
  <c r="J134" i="32"/>
  <c r="M134" i="32"/>
  <c r="F134" i="32"/>
  <c r="U134" i="32" s="1"/>
  <c r="I134" i="32"/>
  <c r="N134" i="32"/>
  <c r="F204" i="57"/>
  <c r="D204" i="57"/>
  <c r="I204" i="57"/>
  <c r="E204" i="57"/>
  <c r="H204" i="57"/>
  <c r="K204" i="57"/>
  <c r="G204" i="57"/>
  <c r="J204" i="57"/>
  <c r="C204" i="57"/>
  <c r="AN203" i="55" a="1"/>
  <c r="AN203" i="55" s="1"/>
  <c r="B205" i="57" s="1"/>
  <c r="AR189" i="67" a="1"/>
  <c r="AR189" i="67" s="1"/>
  <c r="B190" i="69"/>
  <c r="L190" i="69" s="1"/>
  <c r="C189" i="69"/>
  <c r="P189" i="69" s="1"/>
  <c r="AE187" i="69"/>
  <c r="R187" i="69"/>
  <c r="S187" i="69" s="1"/>
  <c r="Y187" i="69" s="1"/>
  <c r="D188" i="69"/>
  <c r="E188" i="69" s="1"/>
  <c r="F188" i="69" s="1"/>
  <c r="G188" i="69" s="1"/>
  <c r="H188" i="69" s="1"/>
  <c r="I188" i="69" s="1"/>
  <c r="J188" i="69" s="1"/>
  <c r="K188" i="69" s="1"/>
  <c r="M188" i="69" s="1"/>
  <c r="AL134" i="11" a="1"/>
  <c r="AL134" i="11" s="1"/>
  <c r="E135" i="32" s="1"/>
  <c r="AP144" i="59" a="1"/>
  <c r="AP144" i="59" s="1"/>
  <c r="E145" i="50" s="1"/>
  <c r="AQ34" i="59" a="1"/>
  <c r="AQ34" i="59" s="1"/>
  <c r="AM19" i="11" a="1"/>
  <c r="AM19" i="11" s="1"/>
  <c r="AE203" i="57" l="1"/>
  <c r="X202" i="57"/>
  <c r="AA202" i="57" s="1"/>
  <c r="AB187" i="69"/>
  <c r="AC187" i="69" s="1"/>
  <c r="AD187" i="69" s="1"/>
  <c r="AD133" i="32"/>
  <c r="AG133" i="32" s="1"/>
  <c r="AH133" i="32" s="1"/>
  <c r="AD143" i="50"/>
  <c r="AG143" i="50" s="1"/>
  <c r="AG204" i="57"/>
  <c r="AA201" i="57"/>
  <c r="AF201" i="57"/>
  <c r="M205" i="53"/>
  <c r="AC205" i="53" s="1"/>
  <c r="O205" i="53"/>
  <c r="AP189" i="69"/>
  <c r="N189" i="69"/>
  <c r="U189" i="69" s="1"/>
  <c r="AQ203" i="57"/>
  <c r="Q203" i="57"/>
  <c r="T203" i="57" s="1"/>
  <c r="AD203" i="57"/>
  <c r="AJ203" i="57"/>
  <c r="R203" i="57"/>
  <c r="AC203" i="57"/>
  <c r="M204" i="57"/>
  <c r="AK204" i="57" s="1"/>
  <c r="Q144" i="50"/>
  <c r="P144" i="50" s="1"/>
  <c r="Q134" i="32"/>
  <c r="P134" i="32" s="1"/>
  <c r="N205" i="53"/>
  <c r="T135" i="32"/>
  <c r="O135" i="32"/>
  <c r="O145" i="50"/>
  <c r="T145" i="50"/>
  <c r="AA203" i="53"/>
  <c r="AB203" i="53"/>
  <c r="AP141" i="50"/>
  <c r="AM134" i="32"/>
  <c r="C143" i="50"/>
  <c r="AJ143" i="50"/>
  <c r="S144" i="50"/>
  <c r="Z144" i="50" s="1"/>
  <c r="C133" i="32"/>
  <c r="AJ133" i="32"/>
  <c r="W133" i="32"/>
  <c r="X133" i="32" s="1"/>
  <c r="S134" i="32"/>
  <c r="Z134" i="32" s="1"/>
  <c r="W143" i="50"/>
  <c r="X142" i="50"/>
  <c r="V143" i="50"/>
  <c r="V133" i="32"/>
  <c r="AF188" i="69"/>
  <c r="Q188" i="69"/>
  <c r="O205" i="57"/>
  <c r="P205" i="57"/>
  <c r="AC186" i="69"/>
  <c r="AD186" i="69" s="1"/>
  <c r="AH142" i="50"/>
  <c r="AI142" i="50" s="1"/>
  <c r="AG187" i="69"/>
  <c r="AO189" i="69"/>
  <c r="O190" i="69"/>
  <c r="AK145" i="50"/>
  <c r="AE204" i="53"/>
  <c r="AF203" i="53"/>
  <c r="AK135" i="32"/>
  <c r="AM144" i="50"/>
  <c r="AL132" i="32"/>
  <c r="AI131" i="32"/>
  <c r="AN131" i="32" s="1"/>
  <c r="R204" i="53"/>
  <c r="X204" i="53" s="1"/>
  <c r="AL142" i="50"/>
  <c r="AY188" i="69"/>
  <c r="L205" i="57"/>
  <c r="AG204" i="53"/>
  <c r="AT204" i="53"/>
  <c r="AH204" i="53"/>
  <c r="AD204" i="53"/>
  <c r="N205" i="57"/>
  <c r="Q204" i="53"/>
  <c r="AH188" i="69"/>
  <c r="H205" i="53"/>
  <c r="K205" i="53"/>
  <c r="L205" i="53"/>
  <c r="D205" i="53"/>
  <c r="C205" i="53"/>
  <c r="AK204" i="52" a="1"/>
  <c r="AK204" i="52" s="1"/>
  <c r="B206" i="53" s="1"/>
  <c r="P205" i="53"/>
  <c r="E205" i="53"/>
  <c r="G205" i="53"/>
  <c r="F205" i="53"/>
  <c r="J205" i="53"/>
  <c r="I205" i="53"/>
  <c r="A135" i="32"/>
  <c r="B135" i="32"/>
  <c r="R135" i="32" s="1"/>
  <c r="J145" i="50"/>
  <c r="M145" i="50"/>
  <c r="H145" i="50"/>
  <c r="F145" i="50"/>
  <c r="U145" i="50" s="1"/>
  <c r="K145" i="50"/>
  <c r="L145" i="50"/>
  <c r="G145" i="50"/>
  <c r="A145" i="50"/>
  <c r="B145" i="50"/>
  <c r="R145" i="50" s="1"/>
  <c r="N145" i="50"/>
  <c r="I145" i="50"/>
  <c r="J135" i="32"/>
  <c r="M135" i="32"/>
  <c r="F135" i="32"/>
  <c r="U135" i="32" s="1"/>
  <c r="N135" i="32"/>
  <c r="I135" i="32"/>
  <c r="K135" i="32"/>
  <c r="H135" i="32"/>
  <c r="L135" i="32"/>
  <c r="G135" i="32"/>
  <c r="C205" i="57"/>
  <c r="K205" i="57"/>
  <c r="J205" i="57"/>
  <c r="H205" i="57"/>
  <c r="D205" i="57"/>
  <c r="F205" i="57"/>
  <c r="I205" i="57"/>
  <c r="G205" i="57"/>
  <c r="E205" i="57"/>
  <c r="AN204" i="55" a="1"/>
  <c r="AN204" i="55" s="1"/>
  <c r="B206" i="57" s="1"/>
  <c r="AR190" i="67" a="1"/>
  <c r="AR190" i="67" s="1"/>
  <c r="B191" i="69"/>
  <c r="L191" i="69" s="1"/>
  <c r="D189" i="69"/>
  <c r="E189" i="69" s="1"/>
  <c r="F189" i="69" s="1"/>
  <c r="G189" i="69" s="1"/>
  <c r="H189" i="69" s="1"/>
  <c r="I189" i="69" s="1"/>
  <c r="J189" i="69" s="1"/>
  <c r="K189" i="69" s="1"/>
  <c r="M189" i="69" s="1"/>
  <c r="AE188" i="69"/>
  <c r="R188" i="69"/>
  <c r="S188" i="69" s="1"/>
  <c r="C190" i="69"/>
  <c r="P190" i="69" s="1"/>
  <c r="AL135" i="11" a="1"/>
  <c r="AL135" i="11" s="1"/>
  <c r="E136" i="32" s="1"/>
  <c r="AP145" i="59" a="1"/>
  <c r="AP145" i="59" s="1"/>
  <c r="E146" i="50" s="1"/>
  <c r="AQ35" i="59" a="1"/>
  <c r="AQ35" i="59" s="1"/>
  <c r="AM20" i="11" a="1"/>
  <c r="AM20" i="11" s="1"/>
  <c r="Y188" i="69" l="1"/>
  <c r="AB188" i="69" s="1"/>
  <c r="AC188" i="69" s="1"/>
  <c r="AD188" i="69" s="1"/>
  <c r="AD134" i="32"/>
  <c r="AG134" i="32" s="1"/>
  <c r="AH134" i="32" s="1"/>
  <c r="AD144" i="50"/>
  <c r="AG144" i="50" s="1"/>
  <c r="X203" i="57"/>
  <c r="AB203" i="57" s="1"/>
  <c r="AG205" i="57"/>
  <c r="AF202" i="57"/>
  <c r="AB202" i="57"/>
  <c r="AE204" i="57"/>
  <c r="M206" i="53"/>
  <c r="AC206" i="53" s="1"/>
  <c r="O206" i="53"/>
  <c r="AP190" i="69"/>
  <c r="N190" i="69"/>
  <c r="U190" i="69" s="1"/>
  <c r="AJ204" i="57"/>
  <c r="R204" i="57"/>
  <c r="Q204" i="57"/>
  <c r="T204" i="57" s="1"/>
  <c r="AD204" i="57"/>
  <c r="AQ204" i="57"/>
  <c r="AC204" i="57"/>
  <c r="M205" i="57"/>
  <c r="AK205" i="57" s="1"/>
  <c r="Q145" i="50"/>
  <c r="P145" i="50" s="1"/>
  <c r="Q135" i="32"/>
  <c r="P135" i="32" s="1"/>
  <c r="N206" i="53"/>
  <c r="T136" i="32"/>
  <c r="O136" i="32"/>
  <c r="T146" i="50"/>
  <c r="O146" i="50"/>
  <c r="AA204" i="53"/>
  <c r="AB204" i="53"/>
  <c r="AP142" i="50"/>
  <c r="AM135" i="32"/>
  <c r="C144" i="50"/>
  <c r="AJ144" i="50"/>
  <c r="S145" i="50"/>
  <c r="Z145" i="50" s="1"/>
  <c r="C134" i="32"/>
  <c r="AJ134" i="32"/>
  <c r="W134" i="32"/>
  <c r="X134" i="32" s="1"/>
  <c r="S135" i="32"/>
  <c r="Z135" i="32" s="1"/>
  <c r="W144" i="50"/>
  <c r="X143" i="50"/>
  <c r="V144" i="50"/>
  <c r="V134" i="32"/>
  <c r="AF189" i="69"/>
  <c r="Q189" i="69"/>
  <c r="O206" i="57"/>
  <c r="P206" i="57"/>
  <c r="AH143" i="50"/>
  <c r="AI143" i="50" s="1"/>
  <c r="O191" i="69"/>
  <c r="AO190" i="69"/>
  <c r="AK146" i="50"/>
  <c r="AF204" i="53"/>
  <c r="AE205" i="53"/>
  <c r="AK136" i="32"/>
  <c r="AM145" i="50"/>
  <c r="AL133" i="32"/>
  <c r="R205" i="53"/>
  <c r="X205" i="53" s="1"/>
  <c r="AL143" i="50"/>
  <c r="AI132" i="32"/>
  <c r="AN132" i="32" s="1"/>
  <c r="AY189" i="69"/>
  <c r="L206" i="57"/>
  <c r="AH205" i="53"/>
  <c r="AT205" i="53"/>
  <c r="AG205" i="53"/>
  <c r="N206" i="57"/>
  <c r="J206" i="53"/>
  <c r="AH189" i="69"/>
  <c r="Q205" i="53"/>
  <c r="AD205" i="53"/>
  <c r="D206" i="53"/>
  <c r="P206" i="53"/>
  <c r="F206" i="53"/>
  <c r="G206" i="53"/>
  <c r="K206" i="53"/>
  <c r="H206" i="53"/>
  <c r="E206" i="53"/>
  <c r="C206" i="53"/>
  <c r="AK205" i="52" a="1"/>
  <c r="AK205" i="52" s="1"/>
  <c r="B207" i="53" s="1"/>
  <c r="L206" i="53"/>
  <c r="I206" i="53"/>
  <c r="A136" i="32"/>
  <c r="B136" i="32"/>
  <c r="R136" i="32" s="1"/>
  <c r="H146" i="50"/>
  <c r="I146" i="50"/>
  <c r="G146" i="50"/>
  <c r="N146" i="50"/>
  <c r="M146" i="50"/>
  <c r="J146" i="50"/>
  <c r="A146" i="50"/>
  <c r="B146" i="50"/>
  <c r="R146" i="50" s="1"/>
  <c r="L146" i="50"/>
  <c r="F146" i="50"/>
  <c r="U146" i="50" s="1"/>
  <c r="K146" i="50"/>
  <c r="H136" i="32"/>
  <c r="K136" i="32"/>
  <c r="L136" i="32"/>
  <c r="G136" i="32"/>
  <c r="F136" i="32"/>
  <c r="U136" i="32" s="1"/>
  <c r="I136" i="32"/>
  <c r="N136" i="32"/>
  <c r="J136" i="32"/>
  <c r="M136" i="32"/>
  <c r="H206" i="57"/>
  <c r="F206" i="57"/>
  <c r="I206" i="57"/>
  <c r="D206" i="57"/>
  <c r="K206" i="57"/>
  <c r="J206" i="57"/>
  <c r="G206" i="57"/>
  <c r="E206" i="57"/>
  <c r="C206" i="57"/>
  <c r="AN205" i="55" a="1"/>
  <c r="AN205" i="55" s="1"/>
  <c r="B207" i="57" s="1"/>
  <c r="AR191" i="67" a="1"/>
  <c r="AR191" i="67" s="1"/>
  <c r="B192" i="69"/>
  <c r="L192" i="69" s="1"/>
  <c r="AE189" i="69"/>
  <c r="R189" i="69"/>
  <c r="S189" i="69" s="1"/>
  <c r="Y189" i="69" s="1"/>
  <c r="C191" i="69"/>
  <c r="P191" i="69" s="1"/>
  <c r="D190" i="69"/>
  <c r="E190" i="69" s="1"/>
  <c r="F190" i="69" s="1"/>
  <c r="G190" i="69" s="1"/>
  <c r="H190" i="69" s="1"/>
  <c r="I190" i="69" s="1"/>
  <c r="J190" i="69" s="1"/>
  <c r="K190" i="69" s="1"/>
  <c r="M190" i="69" s="1"/>
  <c r="AL136" i="11" a="1"/>
  <c r="AL136" i="11" s="1"/>
  <c r="AP146" i="59" a="1"/>
  <c r="AP146" i="59" s="1"/>
  <c r="E147" i="50" s="1"/>
  <c r="AQ36" i="59" a="1"/>
  <c r="AQ36" i="59" s="1"/>
  <c r="AM21" i="11" a="1"/>
  <c r="AM21" i="11" s="1"/>
  <c r="AG188" i="69" l="1"/>
  <c r="AD135" i="32"/>
  <c r="AG135" i="32" s="1"/>
  <c r="AH135" i="32" s="1"/>
  <c r="AD145" i="50"/>
  <c r="AG145" i="50" s="1"/>
  <c r="X204" i="57"/>
  <c r="AB204" i="57" s="1"/>
  <c r="AG206" i="57"/>
  <c r="M207" i="53"/>
  <c r="AC207" i="53" s="1"/>
  <c r="O207" i="53"/>
  <c r="AP191" i="69"/>
  <c r="N191" i="69"/>
  <c r="U191" i="69" s="1"/>
  <c r="AA203" i="57"/>
  <c r="AF203" i="57"/>
  <c r="AQ205" i="57"/>
  <c r="R205" i="57"/>
  <c r="Q205" i="57"/>
  <c r="T205" i="57" s="1"/>
  <c r="AC205" i="57"/>
  <c r="AD205" i="57"/>
  <c r="AJ205" i="57"/>
  <c r="AE205" i="57"/>
  <c r="M206" i="57"/>
  <c r="AK206" i="57" s="1"/>
  <c r="Q146" i="50"/>
  <c r="P146" i="50" s="1"/>
  <c r="Q136" i="32"/>
  <c r="P136" i="32" s="1"/>
  <c r="N207" i="53"/>
  <c r="T147" i="50"/>
  <c r="O147" i="50"/>
  <c r="AA205" i="53"/>
  <c r="AB205" i="53"/>
  <c r="AP143" i="50"/>
  <c r="AM136" i="32"/>
  <c r="C145" i="50"/>
  <c r="AJ145" i="50"/>
  <c r="S146" i="50"/>
  <c r="Z146" i="50" s="1"/>
  <c r="C135" i="32"/>
  <c r="W135" i="32"/>
  <c r="X135" i="32" s="1"/>
  <c r="AJ135" i="32"/>
  <c r="S136" i="32"/>
  <c r="Z136" i="32" s="1"/>
  <c r="W145" i="50"/>
  <c r="X144" i="50"/>
  <c r="V145" i="50"/>
  <c r="V135" i="32"/>
  <c r="AF190" i="69"/>
  <c r="Q190" i="69"/>
  <c r="O207" i="57"/>
  <c r="P207" i="57"/>
  <c r="AH144" i="50"/>
  <c r="AI144" i="50" s="1"/>
  <c r="AB189" i="69"/>
  <c r="AG189" i="69"/>
  <c r="O192" i="69"/>
  <c r="AO191" i="69"/>
  <c r="AK147" i="50"/>
  <c r="AE206" i="53"/>
  <c r="AF205" i="53"/>
  <c r="AM146" i="50"/>
  <c r="AL134" i="32"/>
  <c r="R206" i="53"/>
  <c r="X206" i="53" s="1"/>
  <c r="AL144" i="50"/>
  <c r="AI133" i="32"/>
  <c r="AN133" i="32" s="1"/>
  <c r="AY190" i="69"/>
  <c r="L207" i="57"/>
  <c r="AH206" i="53"/>
  <c r="AT206" i="53"/>
  <c r="AG206" i="53"/>
  <c r="N207" i="57"/>
  <c r="AH190" i="69"/>
  <c r="AD206" i="53"/>
  <c r="Q206" i="53"/>
  <c r="F207" i="53"/>
  <c r="P207" i="53"/>
  <c r="C207" i="53"/>
  <c r="G207" i="53"/>
  <c r="I207" i="53"/>
  <c r="E207" i="53"/>
  <c r="K207" i="53"/>
  <c r="H207" i="53"/>
  <c r="D207" i="53"/>
  <c r="AK206" i="52" a="1"/>
  <c r="AK206" i="52" s="1"/>
  <c r="B208" i="53" s="1"/>
  <c r="J207" i="53"/>
  <c r="L207" i="53"/>
  <c r="M147" i="50"/>
  <c r="B147" i="50"/>
  <c r="R147" i="50" s="1"/>
  <c r="J147" i="50"/>
  <c r="I147" i="50"/>
  <c r="L147" i="50"/>
  <c r="N147" i="50"/>
  <c r="A147" i="50"/>
  <c r="H147" i="50"/>
  <c r="F147" i="50"/>
  <c r="U147" i="50" s="1"/>
  <c r="K147" i="50"/>
  <c r="G147" i="50"/>
  <c r="G207" i="57"/>
  <c r="K207" i="57"/>
  <c r="F207" i="57"/>
  <c r="I207" i="57"/>
  <c r="E207" i="57"/>
  <c r="D207" i="57"/>
  <c r="J207" i="57"/>
  <c r="C207" i="57"/>
  <c r="H207" i="57"/>
  <c r="E137" i="32"/>
  <c r="AN206" i="55" a="1"/>
  <c r="AN206" i="55" s="1"/>
  <c r="B208" i="57" s="1"/>
  <c r="AR192" i="67" a="1"/>
  <c r="AR192" i="67" s="1"/>
  <c r="B193" i="69"/>
  <c r="L193" i="69" s="1"/>
  <c r="D191" i="69"/>
  <c r="E191" i="69" s="1"/>
  <c r="F191" i="69" s="1"/>
  <c r="G191" i="69" s="1"/>
  <c r="H191" i="69" s="1"/>
  <c r="I191" i="69" s="1"/>
  <c r="J191" i="69" s="1"/>
  <c r="K191" i="69" s="1"/>
  <c r="M191" i="69" s="1"/>
  <c r="AE190" i="69"/>
  <c r="R190" i="69"/>
  <c r="S190" i="69" s="1"/>
  <c r="C192" i="69"/>
  <c r="P192" i="69" s="1"/>
  <c r="AL137" i="11" a="1"/>
  <c r="AL137" i="11" s="1"/>
  <c r="E138" i="32" s="1"/>
  <c r="AP147" i="59" a="1"/>
  <c r="AP147" i="59" s="1"/>
  <c r="E148" i="50" s="1"/>
  <c r="AQ37" i="59" a="1"/>
  <c r="AQ37" i="59" s="1"/>
  <c r="AM22" i="11" a="1"/>
  <c r="AM22" i="11" s="1"/>
  <c r="X205" i="57" l="1"/>
  <c r="AB205" i="57" s="1"/>
  <c r="Y190" i="69"/>
  <c r="AB190" i="69" s="1"/>
  <c r="AC190" i="69" s="1"/>
  <c r="AD190" i="69" s="1"/>
  <c r="AD136" i="32"/>
  <c r="AG136" i="32" s="1"/>
  <c r="AH136" i="32" s="1"/>
  <c r="AD146" i="50"/>
  <c r="AG146" i="50" s="1"/>
  <c r="AG207" i="57"/>
  <c r="AF204" i="57"/>
  <c r="M208" i="53"/>
  <c r="AC208" i="53" s="1"/>
  <c r="O208" i="53"/>
  <c r="AP192" i="69"/>
  <c r="N192" i="69"/>
  <c r="U192" i="69" s="1"/>
  <c r="AA204" i="57"/>
  <c r="AE206" i="57"/>
  <c r="AJ206" i="57"/>
  <c r="AD206" i="57"/>
  <c r="Q206" i="57"/>
  <c r="T206" i="57" s="1"/>
  <c r="R206" i="57"/>
  <c r="AQ206" i="57"/>
  <c r="AC206" i="57"/>
  <c r="M207" i="57"/>
  <c r="AK207" i="57" s="1"/>
  <c r="Q147" i="50"/>
  <c r="P147" i="50" s="1"/>
  <c r="N208" i="53"/>
  <c r="T138" i="32"/>
  <c r="O138" i="32"/>
  <c r="T137" i="32"/>
  <c r="O137" i="32"/>
  <c r="T148" i="50"/>
  <c r="O148" i="50"/>
  <c r="AA206" i="53"/>
  <c r="AB206" i="53"/>
  <c r="AP144" i="50"/>
  <c r="C146" i="50"/>
  <c r="AJ146" i="50"/>
  <c r="S147" i="50"/>
  <c r="Z147" i="50" s="1"/>
  <c r="C136" i="32"/>
  <c r="W136" i="32"/>
  <c r="X136" i="32" s="1"/>
  <c r="AJ136" i="32"/>
  <c r="W146" i="50"/>
  <c r="X145" i="50"/>
  <c r="V146" i="50"/>
  <c r="V136" i="32"/>
  <c r="AF191" i="69"/>
  <c r="Q191" i="69"/>
  <c r="O208" i="57"/>
  <c r="P208" i="57"/>
  <c r="AC189" i="69"/>
  <c r="AD189" i="69" s="1"/>
  <c r="AH145" i="50"/>
  <c r="AI145" i="50" s="1"/>
  <c r="O193" i="69"/>
  <c r="AO192" i="69"/>
  <c r="AK148" i="50"/>
  <c r="AF206" i="53"/>
  <c r="AE207" i="53"/>
  <c r="AK137" i="32"/>
  <c r="AK138" i="32"/>
  <c r="AM147" i="50"/>
  <c r="AL135" i="32"/>
  <c r="AI134" i="32"/>
  <c r="AN134" i="32" s="1"/>
  <c r="R207" i="53"/>
  <c r="X207" i="53" s="1"/>
  <c r="AL145" i="50"/>
  <c r="AY191" i="69"/>
  <c r="L208" i="57"/>
  <c r="AH207" i="53"/>
  <c r="AT207" i="53"/>
  <c r="AG207" i="53"/>
  <c r="N208" i="57"/>
  <c r="L208" i="53"/>
  <c r="AH191" i="69"/>
  <c r="AD207" i="53"/>
  <c r="Q207" i="53"/>
  <c r="AK207" i="52" a="1"/>
  <c r="AK207" i="52" s="1"/>
  <c r="B209" i="53" s="1"/>
  <c r="C208" i="53"/>
  <c r="E208" i="53"/>
  <c r="P208" i="53"/>
  <c r="G208" i="53"/>
  <c r="H208" i="53"/>
  <c r="J208" i="53"/>
  <c r="K208" i="53"/>
  <c r="I208" i="53"/>
  <c r="D208" i="53"/>
  <c r="F208" i="53"/>
  <c r="A138" i="32"/>
  <c r="B138" i="32"/>
  <c r="R138" i="32" s="1"/>
  <c r="A137" i="32"/>
  <c r="B137" i="32"/>
  <c r="R137" i="32" s="1"/>
  <c r="H148" i="50"/>
  <c r="J148" i="50"/>
  <c r="K148" i="50"/>
  <c r="F148" i="50"/>
  <c r="U148" i="50" s="1"/>
  <c r="N148" i="50"/>
  <c r="M148" i="50"/>
  <c r="G148" i="50"/>
  <c r="A148" i="50"/>
  <c r="B148" i="50"/>
  <c r="R148" i="50" s="1"/>
  <c r="I148" i="50"/>
  <c r="L148" i="50"/>
  <c r="L138" i="32"/>
  <c r="G138" i="32"/>
  <c r="H138" i="32"/>
  <c r="K138" i="32"/>
  <c r="M138" i="32"/>
  <c r="J138" i="32"/>
  <c r="N138" i="32"/>
  <c r="F138" i="32"/>
  <c r="U138" i="32" s="1"/>
  <c r="I138" i="32"/>
  <c r="F137" i="32"/>
  <c r="U137" i="32" s="1"/>
  <c r="N137" i="32"/>
  <c r="I137" i="32"/>
  <c r="J137" i="32"/>
  <c r="M137" i="32"/>
  <c r="G137" i="32"/>
  <c r="L137" i="32"/>
  <c r="H137" i="32"/>
  <c r="K137" i="32"/>
  <c r="F208" i="57"/>
  <c r="E208" i="57"/>
  <c r="D208" i="57"/>
  <c r="J208" i="57"/>
  <c r="I208" i="57"/>
  <c r="K208" i="57"/>
  <c r="G208" i="57"/>
  <c r="C208" i="57"/>
  <c r="H208" i="57"/>
  <c r="AN207" i="55" a="1"/>
  <c r="AN207" i="55" s="1"/>
  <c r="B209" i="57" s="1"/>
  <c r="AR193" i="67" a="1"/>
  <c r="AR193" i="67" s="1"/>
  <c r="B194" i="69"/>
  <c r="L194" i="69" s="1"/>
  <c r="C193" i="69"/>
  <c r="P193" i="69" s="1"/>
  <c r="D192" i="69"/>
  <c r="E192" i="69" s="1"/>
  <c r="F192" i="69" s="1"/>
  <c r="G192" i="69" s="1"/>
  <c r="H192" i="69" s="1"/>
  <c r="I192" i="69" s="1"/>
  <c r="J192" i="69" s="1"/>
  <c r="K192" i="69" s="1"/>
  <c r="M192" i="69" s="1"/>
  <c r="AE191" i="69"/>
  <c r="R191" i="69"/>
  <c r="S191" i="69" s="1"/>
  <c r="Y191" i="69" s="1"/>
  <c r="AL138" i="11" a="1"/>
  <c r="AL138" i="11" s="1"/>
  <c r="E139" i="32" s="1"/>
  <c r="AP148" i="59" a="1"/>
  <c r="AP148" i="59" s="1"/>
  <c r="E149" i="50" s="1"/>
  <c r="AQ38" i="59" a="1"/>
  <c r="AQ38" i="59" s="1"/>
  <c r="AM23" i="11" a="1"/>
  <c r="AM23" i="11" s="1"/>
  <c r="AG190" i="69" l="1"/>
  <c r="X206" i="57"/>
  <c r="AB206" i="57" s="1"/>
  <c r="AD147" i="50"/>
  <c r="AG147" i="50" s="1"/>
  <c r="AG208" i="57"/>
  <c r="AA205" i="57"/>
  <c r="AF205" i="57"/>
  <c r="R207" i="57"/>
  <c r="M209" i="53"/>
  <c r="AC209" i="53" s="1"/>
  <c r="O209" i="53"/>
  <c r="AP193" i="69"/>
  <c r="N193" i="69"/>
  <c r="U193" i="69" s="1"/>
  <c r="AD207" i="57"/>
  <c r="Q207" i="57"/>
  <c r="T207" i="57" s="1"/>
  <c r="AE207" i="57"/>
  <c r="AJ207" i="57"/>
  <c r="AQ207" i="57"/>
  <c r="AC207" i="57"/>
  <c r="M208" i="57"/>
  <c r="AK208" i="57" s="1"/>
  <c r="Q148" i="50"/>
  <c r="P148" i="50" s="1"/>
  <c r="Q137" i="32"/>
  <c r="P137" i="32" s="1"/>
  <c r="Q138" i="32"/>
  <c r="P138" i="32" s="1"/>
  <c r="N209" i="53"/>
  <c r="T139" i="32"/>
  <c r="O139" i="32"/>
  <c r="T149" i="50"/>
  <c r="O149" i="50"/>
  <c r="AA207" i="53"/>
  <c r="AB207" i="53"/>
  <c r="AP145" i="50"/>
  <c r="AM137" i="32"/>
  <c r="AM138" i="32"/>
  <c r="AJ147" i="50"/>
  <c r="C147" i="50"/>
  <c r="S148" i="50"/>
  <c r="Z148" i="50" s="1"/>
  <c r="S138" i="32"/>
  <c r="Z138" i="32" s="1"/>
  <c r="S137" i="32"/>
  <c r="Z137" i="32" s="1"/>
  <c r="W147" i="50"/>
  <c r="X146" i="50"/>
  <c r="V147" i="50"/>
  <c r="AF192" i="69"/>
  <c r="Q192" i="69"/>
  <c r="O209" i="57"/>
  <c r="P209" i="57"/>
  <c r="AH146" i="50"/>
  <c r="AI146" i="50" s="1"/>
  <c r="AB191" i="69"/>
  <c r="AG191" i="69"/>
  <c r="AO193" i="69"/>
  <c r="O194" i="69"/>
  <c r="AK149" i="50"/>
  <c r="AE208" i="53"/>
  <c r="AF207" i="53"/>
  <c r="AK139" i="32"/>
  <c r="AM148" i="50"/>
  <c r="AL136" i="32"/>
  <c r="R208" i="53"/>
  <c r="X208" i="53" s="1"/>
  <c r="AL146" i="50"/>
  <c r="AI135" i="32"/>
  <c r="AN135" i="32" s="1"/>
  <c r="AY192" i="69"/>
  <c r="L209" i="57"/>
  <c r="AH208" i="53"/>
  <c r="AT208" i="53"/>
  <c r="AG208" i="53"/>
  <c r="N209" i="57"/>
  <c r="I209" i="53"/>
  <c r="AH192" i="69"/>
  <c r="Q208" i="53"/>
  <c r="AD208" i="53"/>
  <c r="L209" i="53"/>
  <c r="G209" i="53"/>
  <c r="C209" i="53"/>
  <c r="F209" i="53"/>
  <c r="E209" i="53"/>
  <c r="H209" i="53"/>
  <c r="P209" i="53"/>
  <c r="AK208" i="52" a="1"/>
  <c r="AK208" i="52" s="1"/>
  <c r="B210" i="53" s="1"/>
  <c r="J209" i="53"/>
  <c r="D209" i="53"/>
  <c r="K209" i="53"/>
  <c r="A139" i="32"/>
  <c r="B139" i="32"/>
  <c r="R139" i="32" s="1"/>
  <c r="M149" i="50"/>
  <c r="F149" i="50"/>
  <c r="U149" i="50" s="1"/>
  <c r="J149" i="50"/>
  <c r="H149" i="50"/>
  <c r="A149" i="50"/>
  <c r="K149" i="50"/>
  <c r="N149" i="50"/>
  <c r="L149" i="50"/>
  <c r="I149" i="50"/>
  <c r="B149" i="50"/>
  <c r="R149" i="50" s="1"/>
  <c r="G149" i="50"/>
  <c r="J139" i="32"/>
  <c r="M139" i="32"/>
  <c r="F139" i="32"/>
  <c r="U139" i="32" s="1"/>
  <c r="N139" i="32"/>
  <c r="I139" i="32"/>
  <c r="H139" i="32"/>
  <c r="K139" i="32"/>
  <c r="G139" i="32"/>
  <c r="L139" i="32"/>
  <c r="K209" i="57"/>
  <c r="H209" i="57"/>
  <c r="F209" i="57"/>
  <c r="C209" i="57"/>
  <c r="E209" i="57"/>
  <c r="G209" i="57"/>
  <c r="J209" i="57"/>
  <c r="I209" i="57"/>
  <c r="D209" i="57"/>
  <c r="AN208" i="55" a="1"/>
  <c r="AN208" i="55" s="1"/>
  <c r="B210" i="57" s="1"/>
  <c r="AR194" i="67" a="1"/>
  <c r="AR194" i="67" s="1"/>
  <c r="B195" i="69"/>
  <c r="L195" i="69" s="1"/>
  <c r="D193" i="69"/>
  <c r="E193" i="69" s="1"/>
  <c r="F193" i="69" s="1"/>
  <c r="G193" i="69" s="1"/>
  <c r="H193" i="69" s="1"/>
  <c r="I193" i="69" s="1"/>
  <c r="J193" i="69" s="1"/>
  <c r="K193" i="69" s="1"/>
  <c r="M193" i="69" s="1"/>
  <c r="R192" i="69"/>
  <c r="S192" i="69" s="1"/>
  <c r="Y192" i="69" s="1"/>
  <c r="AE192" i="69"/>
  <c r="C194" i="69"/>
  <c r="P194" i="69" s="1"/>
  <c r="AL139" i="11" a="1"/>
  <c r="AL139" i="11" s="1"/>
  <c r="E140" i="32" s="1"/>
  <c r="AP149" i="59" a="1"/>
  <c r="AP149" i="59" s="1"/>
  <c r="E150" i="50" s="1"/>
  <c r="AQ39" i="59" a="1"/>
  <c r="AQ39" i="59" s="1"/>
  <c r="AM24" i="11" a="1"/>
  <c r="AM24" i="11" s="1"/>
  <c r="AD138" i="32" l="1"/>
  <c r="AG138" i="32" s="1"/>
  <c r="AH138" i="32" s="1"/>
  <c r="AD137" i="32"/>
  <c r="AG137" i="32" s="1"/>
  <c r="AH137" i="32" s="1"/>
  <c r="AD148" i="50"/>
  <c r="AG148" i="50" s="1"/>
  <c r="X207" i="57"/>
  <c r="AB207" i="57" s="1"/>
  <c r="AG209" i="57"/>
  <c r="AA206" i="57"/>
  <c r="M210" i="53"/>
  <c r="AC210" i="53" s="1"/>
  <c r="O210" i="53"/>
  <c r="AP194" i="69"/>
  <c r="N194" i="69"/>
  <c r="U194" i="69" s="1"/>
  <c r="AF206" i="57"/>
  <c r="AC208" i="57"/>
  <c r="AQ208" i="57"/>
  <c r="AD208" i="57"/>
  <c r="AJ208" i="57"/>
  <c r="Q208" i="57"/>
  <c r="T208" i="57" s="1"/>
  <c r="R208" i="57"/>
  <c r="AE208" i="57"/>
  <c r="M209" i="57"/>
  <c r="AK209" i="57" s="1"/>
  <c r="Q149" i="50"/>
  <c r="P149" i="50" s="1"/>
  <c r="Q139" i="32"/>
  <c r="P139" i="32" s="1"/>
  <c r="N210" i="53"/>
  <c r="T140" i="32"/>
  <c r="O140" i="32"/>
  <c r="T150" i="50"/>
  <c r="O150" i="50"/>
  <c r="AA208" i="53"/>
  <c r="AB208" i="53"/>
  <c r="AP146" i="50"/>
  <c r="AM139" i="32"/>
  <c r="C148" i="50"/>
  <c r="AJ148" i="50"/>
  <c r="S149" i="50"/>
  <c r="Z149" i="50" s="1"/>
  <c r="W137" i="32"/>
  <c r="X137" i="32" s="1"/>
  <c r="C137" i="32"/>
  <c r="AJ137" i="32"/>
  <c r="C138" i="32"/>
  <c r="AJ138" i="32"/>
  <c r="W138" i="32"/>
  <c r="X138" i="32" s="1"/>
  <c r="S139" i="32"/>
  <c r="AD139" i="32" s="1"/>
  <c r="W148" i="50"/>
  <c r="X147" i="50"/>
  <c r="V148" i="50"/>
  <c r="V138" i="32"/>
  <c r="V137" i="32"/>
  <c r="AF193" i="69"/>
  <c r="Q193" i="69"/>
  <c r="O210" i="57"/>
  <c r="P210" i="57"/>
  <c r="AC191" i="69"/>
  <c r="AD191" i="69" s="1"/>
  <c r="AH147" i="50"/>
  <c r="AI147" i="50" s="1"/>
  <c r="AB192" i="69"/>
  <c r="AG192" i="69"/>
  <c r="O195" i="69"/>
  <c r="AO194" i="69"/>
  <c r="AK150" i="50"/>
  <c r="AE209" i="53"/>
  <c r="AF208" i="53"/>
  <c r="AK140" i="32"/>
  <c r="AM149" i="50"/>
  <c r="AI136" i="32"/>
  <c r="AN136" i="32" s="1"/>
  <c r="R209" i="53"/>
  <c r="X209" i="53" s="1"/>
  <c r="AL147" i="50"/>
  <c r="AY193" i="69"/>
  <c r="L210" i="57"/>
  <c r="AH209" i="53"/>
  <c r="AT209" i="53"/>
  <c r="AG209" i="53"/>
  <c r="N210" i="57"/>
  <c r="AH193" i="69"/>
  <c r="AD209" i="53"/>
  <c r="Q209" i="53"/>
  <c r="K210" i="53"/>
  <c r="I210" i="53"/>
  <c r="G210" i="53"/>
  <c r="AK209" i="52" a="1"/>
  <c r="AK209" i="52" s="1"/>
  <c r="B211" i="53" s="1"/>
  <c r="F210" i="53"/>
  <c r="L210" i="53"/>
  <c r="E210" i="53"/>
  <c r="C210" i="53"/>
  <c r="H210" i="53"/>
  <c r="J210" i="53"/>
  <c r="P210" i="53"/>
  <c r="D210" i="53"/>
  <c r="A140" i="32"/>
  <c r="B140" i="32"/>
  <c r="R140" i="32" s="1"/>
  <c r="F150" i="50"/>
  <c r="U150" i="50" s="1"/>
  <c r="L150" i="50"/>
  <c r="N150" i="50"/>
  <c r="M150" i="50"/>
  <c r="G150" i="50"/>
  <c r="A150" i="50"/>
  <c r="B150" i="50"/>
  <c r="R150" i="50" s="1"/>
  <c r="H150" i="50"/>
  <c r="I150" i="50"/>
  <c r="J150" i="50"/>
  <c r="K150" i="50"/>
  <c r="H140" i="32"/>
  <c r="K140" i="32"/>
  <c r="L140" i="32"/>
  <c r="G140" i="32"/>
  <c r="I140" i="32"/>
  <c r="N140" i="32"/>
  <c r="F140" i="32"/>
  <c r="U140" i="32" s="1"/>
  <c r="J140" i="32"/>
  <c r="M140" i="32"/>
  <c r="K210" i="57"/>
  <c r="G210" i="57"/>
  <c r="E210" i="57"/>
  <c r="C210" i="57"/>
  <c r="J210" i="57"/>
  <c r="H210" i="57"/>
  <c r="I210" i="57"/>
  <c r="D210" i="57"/>
  <c r="F210" i="57"/>
  <c r="AN209" i="55" a="1"/>
  <c r="AN209" i="55" s="1"/>
  <c r="B211" i="57" s="1"/>
  <c r="C195" i="69"/>
  <c r="P195" i="69" s="1"/>
  <c r="D194" i="69"/>
  <c r="E194" i="69" s="1"/>
  <c r="F194" i="69" s="1"/>
  <c r="G194" i="69" s="1"/>
  <c r="H194" i="69" s="1"/>
  <c r="I194" i="69" s="1"/>
  <c r="J194" i="69" s="1"/>
  <c r="K194" i="69" s="1"/>
  <c r="M194" i="69" s="1"/>
  <c r="AE193" i="69"/>
  <c r="R193" i="69"/>
  <c r="S193" i="69" s="1"/>
  <c r="Y193" i="69" s="1"/>
  <c r="AR195" i="67" a="1"/>
  <c r="AR195" i="67" s="1"/>
  <c r="B196" i="69"/>
  <c r="L196" i="69" s="1"/>
  <c r="AL140" i="11" a="1"/>
  <c r="AL140" i="11" s="1"/>
  <c r="E141" i="32" s="1"/>
  <c r="AP150" i="59" a="1"/>
  <c r="AP150" i="59" s="1"/>
  <c r="E151" i="50" s="1"/>
  <c r="AQ40" i="59" a="1"/>
  <c r="AQ40" i="59" s="1"/>
  <c r="AM25" i="11" a="1"/>
  <c r="AM25" i="11" s="1"/>
  <c r="AD149" i="50" l="1"/>
  <c r="AG149" i="50" s="1"/>
  <c r="X208" i="57"/>
  <c r="AA208" i="57" s="1"/>
  <c r="AG210" i="57"/>
  <c r="AA207" i="57"/>
  <c r="AF207" i="57"/>
  <c r="M211" i="53"/>
  <c r="AC211" i="53" s="1"/>
  <c r="O211" i="53"/>
  <c r="AP195" i="69"/>
  <c r="N195" i="69"/>
  <c r="U195" i="69" s="1"/>
  <c r="AJ209" i="57"/>
  <c r="AD209" i="57"/>
  <c r="R209" i="57"/>
  <c r="AC209" i="57"/>
  <c r="Q209" i="57"/>
  <c r="T209" i="57" s="1"/>
  <c r="AQ209" i="57"/>
  <c r="AE209" i="57"/>
  <c r="M210" i="57"/>
  <c r="AK210" i="57" s="1"/>
  <c r="Q150" i="50"/>
  <c r="P150" i="50" s="1"/>
  <c r="Q140" i="32"/>
  <c r="P140" i="32" s="1"/>
  <c r="N211" i="53"/>
  <c r="T141" i="32"/>
  <c r="O141" i="32"/>
  <c r="T151" i="50"/>
  <c r="O151" i="50"/>
  <c r="AA209" i="53"/>
  <c r="AB209" i="53"/>
  <c r="AP147" i="50"/>
  <c r="C139" i="32"/>
  <c r="Z139" i="32"/>
  <c r="AM140" i="32"/>
  <c r="C149" i="50"/>
  <c r="AJ149" i="50"/>
  <c r="S150" i="50"/>
  <c r="Z150" i="50" s="1"/>
  <c r="S140" i="32"/>
  <c r="Z140" i="32" s="1"/>
  <c r="W139" i="32"/>
  <c r="X139" i="32" s="1"/>
  <c r="AJ139" i="32"/>
  <c r="W149" i="50"/>
  <c r="X148" i="50"/>
  <c r="V149" i="50"/>
  <c r="V139" i="32"/>
  <c r="AF194" i="69"/>
  <c r="Q194" i="69"/>
  <c r="O211" i="57"/>
  <c r="P211" i="57"/>
  <c r="AC192" i="69"/>
  <c r="AD192" i="69" s="1"/>
  <c r="AH148" i="50"/>
  <c r="AI148" i="50" s="1"/>
  <c r="AB193" i="69"/>
  <c r="AG193" i="69"/>
  <c r="AO195" i="69"/>
  <c r="O196" i="69"/>
  <c r="AK151" i="50"/>
  <c r="AF209" i="53"/>
  <c r="AE210" i="53"/>
  <c r="AK141" i="32"/>
  <c r="AG139" i="32"/>
  <c r="AH139" i="32" s="1"/>
  <c r="AM150" i="50"/>
  <c r="AL138" i="32"/>
  <c r="AL137" i="32"/>
  <c r="R210" i="53"/>
  <c r="X210" i="53" s="1"/>
  <c r="AL148" i="50"/>
  <c r="AY194" i="69"/>
  <c r="L211" i="57"/>
  <c r="AH210" i="53"/>
  <c r="AT210" i="53"/>
  <c r="AG210" i="53"/>
  <c r="N211" i="57"/>
  <c r="F211" i="53"/>
  <c r="AH194" i="69"/>
  <c r="Q210" i="53"/>
  <c r="AD210" i="53"/>
  <c r="AK210" i="52" a="1"/>
  <c r="AK210" i="52" s="1"/>
  <c r="B212" i="53" s="1"/>
  <c r="K211" i="53"/>
  <c r="L211" i="53"/>
  <c r="J211" i="53"/>
  <c r="H211" i="53"/>
  <c r="I211" i="53"/>
  <c r="P211" i="53"/>
  <c r="C211" i="53"/>
  <c r="E211" i="53"/>
  <c r="G211" i="53"/>
  <c r="D211" i="53"/>
  <c r="A141" i="32"/>
  <c r="B141" i="32"/>
  <c r="R141" i="32" s="1"/>
  <c r="G151" i="50"/>
  <c r="M151" i="50"/>
  <c r="F151" i="50"/>
  <c r="U151" i="50" s="1"/>
  <c r="I151" i="50"/>
  <c r="J151" i="50"/>
  <c r="A151" i="50"/>
  <c r="L151" i="50"/>
  <c r="N151" i="50"/>
  <c r="H151" i="50"/>
  <c r="K151" i="50"/>
  <c r="B151" i="50"/>
  <c r="R151" i="50" s="1"/>
  <c r="F141" i="32"/>
  <c r="U141" i="32" s="1"/>
  <c r="N141" i="32"/>
  <c r="I141" i="32"/>
  <c r="J141" i="32"/>
  <c r="M141" i="32"/>
  <c r="G141" i="32"/>
  <c r="L141" i="32"/>
  <c r="H141" i="32"/>
  <c r="K141" i="32"/>
  <c r="D211" i="57"/>
  <c r="K211" i="57"/>
  <c r="G211" i="57"/>
  <c r="F211" i="57"/>
  <c r="H211" i="57"/>
  <c r="C211" i="57"/>
  <c r="I211" i="57"/>
  <c r="J211" i="57"/>
  <c r="E211" i="57"/>
  <c r="AN210" i="55" a="1"/>
  <c r="AN210" i="55" s="1"/>
  <c r="B212" i="57" s="1"/>
  <c r="AR196" i="67" a="1"/>
  <c r="AR196" i="67" s="1"/>
  <c r="B197" i="69"/>
  <c r="L197" i="69" s="1"/>
  <c r="D195" i="69"/>
  <c r="E195" i="69" s="1"/>
  <c r="F195" i="69" s="1"/>
  <c r="G195" i="69" s="1"/>
  <c r="H195" i="69" s="1"/>
  <c r="I195" i="69" s="1"/>
  <c r="J195" i="69" s="1"/>
  <c r="K195" i="69" s="1"/>
  <c r="M195" i="69" s="1"/>
  <c r="AE194" i="69"/>
  <c r="R194" i="69"/>
  <c r="S194" i="69" s="1"/>
  <c r="Y194" i="69" s="1"/>
  <c r="C196" i="69"/>
  <c r="P196" i="69" s="1"/>
  <c r="AL141" i="11" a="1"/>
  <c r="AL141" i="11" s="1"/>
  <c r="E142" i="32" s="1"/>
  <c r="AP151" i="59" a="1"/>
  <c r="AP151" i="59" s="1"/>
  <c r="E152" i="50" s="1"/>
  <c r="AQ41" i="59" a="1"/>
  <c r="AQ41" i="59" s="1"/>
  <c r="AM26" i="11" a="1"/>
  <c r="AM26" i="11" s="1"/>
  <c r="X209" i="57" l="1"/>
  <c r="AB209" i="57" s="1"/>
  <c r="AD140" i="32"/>
  <c r="AG140" i="32" s="1"/>
  <c r="AH140" i="32" s="1"/>
  <c r="AD150" i="50"/>
  <c r="AG150" i="50" s="1"/>
  <c r="AG211" i="57"/>
  <c r="AB208" i="57"/>
  <c r="AF208" i="57"/>
  <c r="M212" i="53"/>
  <c r="AC212" i="53" s="1"/>
  <c r="O212" i="53"/>
  <c r="AP196" i="69"/>
  <c r="N196" i="69"/>
  <c r="U196" i="69" s="1"/>
  <c r="Q210" i="57"/>
  <c r="T210" i="57" s="1"/>
  <c r="R210" i="57"/>
  <c r="AQ210" i="57"/>
  <c r="AC210" i="57"/>
  <c r="AD210" i="57"/>
  <c r="AJ210" i="57"/>
  <c r="AE210" i="57"/>
  <c r="M211" i="57"/>
  <c r="AK211" i="57" s="1"/>
  <c r="Q151" i="50"/>
  <c r="P151" i="50" s="1"/>
  <c r="Q141" i="32"/>
  <c r="P141" i="32" s="1"/>
  <c r="N212" i="53"/>
  <c r="T142" i="32"/>
  <c r="O142" i="32"/>
  <c r="T152" i="50"/>
  <c r="O152" i="50"/>
  <c r="AP148" i="50"/>
  <c r="AA210" i="53"/>
  <c r="AB210" i="53"/>
  <c r="AM141" i="32"/>
  <c r="AJ150" i="50"/>
  <c r="C150" i="50"/>
  <c r="S151" i="50"/>
  <c r="Z151" i="50" s="1"/>
  <c r="AJ140" i="32"/>
  <c r="W140" i="32"/>
  <c r="X140" i="32" s="1"/>
  <c r="C140" i="32"/>
  <c r="S141" i="32"/>
  <c r="AD141" i="32" s="1"/>
  <c r="W150" i="50"/>
  <c r="X149" i="50"/>
  <c r="V150" i="50"/>
  <c r="V140" i="32"/>
  <c r="AF195" i="69"/>
  <c r="Q195" i="69"/>
  <c r="O212" i="57"/>
  <c r="P212" i="57"/>
  <c r="AC193" i="69"/>
  <c r="AD193" i="69" s="1"/>
  <c r="AH149" i="50"/>
  <c r="AI149" i="50" s="1"/>
  <c r="AB194" i="69"/>
  <c r="AG194" i="69"/>
  <c r="O197" i="69"/>
  <c r="AO196" i="69"/>
  <c r="AK152" i="50"/>
  <c r="AF210" i="53"/>
  <c r="AE211" i="53"/>
  <c r="AK142" i="32"/>
  <c r="AM151" i="50"/>
  <c r="AL139" i="32"/>
  <c r="AI137" i="32"/>
  <c r="AN137" i="32" s="1"/>
  <c r="AI138" i="32"/>
  <c r="AN138" i="32" s="1"/>
  <c r="R211" i="53"/>
  <c r="X211" i="53" s="1"/>
  <c r="AL149" i="50"/>
  <c r="AY195" i="69"/>
  <c r="L212" i="57"/>
  <c r="AH211" i="53"/>
  <c r="AT211" i="53"/>
  <c r="AG211" i="53"/>
  <c r="N212" i="57"/>
  <c r="AH195" i="69"/>
  <c r="AD211" i="53"/>
  <c r="Q211" i="53"/>
  <c r="AK211" i="52" a="1"/>
  <c r="AK211" i="52" s="1"/>
  <c r="B213" i="53" s="1"/>
  <c r="J212" i="53"/>
  <c r="L212" i="53"/>
  <c r="H212" i="53"/>
  <c r="C212" i="53"/>
  <c r="E212" i="53"/>
  <c r="D212" i="53"/>
  <c r="G212" i="53"/>
  <c r="K212" i="53"/>
  <c r="F212" i="53"/>
  <c r="P212" i="53"/>
  <c r="I212" i="53"/>
  <c r="A142" i="32"/>
  <c r="B142" i="32"/>
  <c r="R142" i="32" s="1"/>
  <c r="B152" i="50"/>
  <c r="R152" i="50" s="1"/>
  <c r="I152" i="50"/>
  <c r="N152" i="50"/>
  <c r="A152" i="50"/>
  <c r="G152" i="50"/>
  <c r="J152" i="50"/>
  <c r="K152" i="50"/>
  <c r="M152" i="50"/>
  <c r="F152" i="50"/>
  <c r="U152" i="50" s="1"/>
  <c r="H152" i="50"/>
  <c r="L152" i="50"/>
  <c r="L142" i="32"/>
  <c r="G142" i="32"/>
  <c r="H142" i="32"/>
  <c r="K142" i="32"/>
  <c r="J142" i="32"/>
  <c r="M142" i="32"/>
  <c r="F142" i="32"/>
  <c r="U142" i="32" s="1"/>
  <c r="I142" i="32"/>
  <c r="N142" i="32"/>
  <c r="I212" i="57"/>
  <c r="F212" i="57"/>
  <c r="D212" i="57"/>
  <c r="E212" i="57"/>
  <c r="J212" i="57"/>
  <c r="K212" i="57"/>
  <c r="C212" i="57"/>
  <c r="G212" i="57"/>
  <c r="H212" i="57"/>
  <c r="AN211" i="55" a="1"/>
  <c r="AN211" i="55" s="1"/>
  <c r="B213" i="57" s="1"/>
  <c r="AR197" i="67" a="1"/>
  <c r="AR197" i="67" s="1"/>
  <c r="B198" i="69"/>
  <c r="L198" i="69" s="1"/>
  <c r="AE195" i="69"/>
  <c r="R195" i="69"/>
  <c r="S195" i="69" s="1"/>
  <c r="Y195" i="69" s="1"/>
  <c r="C197" i="69"/>
  <c r="P197" i="69" s="1"/>
  <c r="D196" i="69"/>
  <c r="E196" i="69" s="1"/>
  <c r="F196" i="69" s="1"/>
  <c r="G196" i="69" s="1"/>
  <c r="H196" i="69" s="1"/>
  <c r="I196" i="69" s="1"/>
  <c r="J196" i="69" s="1"/>
  <c r="K196" i="69" s="1"/>
  <c r="M196" i="69" s="1"/>
  <c r="AL142" i="11" a="1"/>
  <c r="AL142" i="11" s="1"/>
  <c r="E143" i="32" s="1"/>
  <c r="AP152" i="59" a="1"/>
  <c r="AP152" i="59" s="1"/>
  <c r="E153" i="50" s="1"/>
  <c r="AQ42" i="59" a="1"/>
  <c r="AQ42" i="59" s="1"/>
  <c r="AM27" i="11" a="1"/>
  <c r="AM27" i="11" s="1"/>
  <c r="AF209" i="57" l="1"/>
  <c r="AD151" i="50"/>
  <c r="AG151" i="50" s="1"/>
  <c r="AG212" i="57"/>
  <c r="X210" i="57"/>
  <c r="AA210" i="57" s="1"/>
  <c r="AA209" i="57"/>
  <c r="M213" i="53"/>
  <c r="AC213" i="53" s="1"/>
  <c r="O213" i="53"/>
  <c r="AP197" i="69"/>
  <c r="N197" i="69"/>
  <c r="U197" i="69" s="1"/>
  <c r="AD211" i="57"/>
  <c r="AE211" i="57"/>
  <c r="Q211" i="57"/>
  <c r="T211" i="57" s="1"/>
  <c r="AQ211" i="57"/>
  <c r="R211" i="57"/>
  <c r="AJ211" i="57"/>
  <c r="AC211" i="57"/>
  <c r="M212" i="57"/>
  <c r="AK212" i="57" s="1"/>
  <c r="Q152" i="50"/>
  <c r="P152" i="50" s="1"/>
  <c r="Q142" i="32"/>
  <c r="P142" i="32" s="1"/>
  <c r="N213" i="53"/>
  <c r="T143" i="32"/>
  <c r="O143" i="32"/>
  <c r="O153" i="50"/>
  <c r="T153" i="50"/>
  <c r="AA211" i="53"/>
  <c r="AB211" i="53"/>
  <c r="AP149" i="50"/>
  <c r="C141" i="32"/>
  <c r="Z141" i="32"/>
  <c r="AM142" i="32"/>
  <c r="C151" i="50"/>
  <c r="AJ151" i="50"/>
  <c r="S152" i="50"/>
  <c r="Z152" i="50" s="1"/>
  <c r="W141" i="32"/>
  <c r="X141" i="32" s="1"/>
  <c r="S142" i="32"/>
  <c r="Z142" i="32" s="1"/>
  <c r="AJ141" i="32"/>
  <c r="W151" i="50"/>
  <c r="X150" i="50"/>
  <c r="V151" i="50"/>
  <c r="V141" i="32"/>
  <c r="AF196" i="69"/>
  <c r="Q196" i="69"/>
  <c r="O213" i="57"/>
  <c r="P213" i="57"/>
  <c r="AC194" i="69"/>
  <c r="AD194" i="69" s="1"/>
  <c r="AH150" i="50"/>
  <c r="AI150" i="50" s="1"/>
  <c r="AB195" i="69"/>
  <c r="AG195" i="69"/>
  <c r="AO197" i="69"/>
  <c r="O198" i="69"/>
  <c r="AK153" i="50"/>
  <c r="AF211" i="53"/>
  <c r="AE212" i="53"/>
  <c r="AK143" i="32"/>
  <c r="AG141" i="32"/>
  <c r="AH141" i="32" s="1"/>
  <c r="AM152" i="50"/>
  <c r="AL140" i="32"/>
  <c r="AI139" i="32"/>
  <c r="AN139" i="32" s="1"/>
  <c r="R212" i="53"/>
  <c r="X212" i="53" s="1"/>
  <c r="AL150" i="50"/>
  <c r="AY196" i="69"/>
  <c r="L213" i="57"/>
  <c r="AH212" i="53"/>
  <c r="AT212" i="53"/>
  <c r="AG212" i="53"/>
  <c r="Q212" i="53"/>
  <c r="N213" i="57"/>
  <c r="AD212" i="53"/>
  <c r="AH196" i="69"/>
  <c r="L213" i="53"/>
  <c r="E213" i="53"/>
  <c r="J213" i="53"/>
  <c r="H213" i="53"/>
  <c r="P213" i="53"/>
  <c r="I213" i="53"/>
  <c r="G213" i="53"/>
  <c r="K213" i="53"/>
  <c r="C213" i="53"/>
  <c r="AK212" i="52" a="1"/>
  <c r="AK212" i="52" s="1"/>
  <c r="B214" i="53" s="1"/>
  <c r="D213" i="53"/>
  <c r="F213" i="53"/>
  <c r="A143" i="32"/>
  <c r="B143" i="32"/>
  <c r="R143" i="32" s="1"/>
  <c r="F153" i="50"/>
  <c r="U153" i="50" s="1"/>
  <c r="L153" i="50"/>
  <c r="M153" i="50"/>
  <c r="I153" i="50"/>
  <c r="N153" i="50"/>
  <c r="J153" i="50"/>
  <c r="G153" i="50"/>
  <c r="H153" i="50"/>
  <c r="B153" i="50"/>
  <c r="R153" i="50" s="1"/>
  <c r="A153" i="50"/>
  <c r="K153" i="50"/>
  <c r="J143" i="32"/>
  <c r="M143" i="32"/>
  <c r="F143" i="32"/>
  <c r="U143" i="32" s="1"/>
  <c r="N143" i="32"/>
  <c r="I143" i="32"/>
  <c r="K143" i="32"/>
  <c r="H143" i="32"/>
  <c r="G143" i="32"/>
  <c r="L143" i="32"/>
  <c r="D213" i="57"/>
  <c r="C213" i="57"/>
  <c r="K213" i="57"/>
  <c r="J213" i="57"/>
  <c r="H213" i="57"/>
  <c r="F213" i="57"/>
  <c r="I213" i="57"/>
  <c r="E213" i="57"/>
  <c r="G213" i="57"/>
  <c r="AN212" i="55" a="1"/>
  <c r="AN212" i="55" s="1"/>
  <c r="B214" i="57" s="1"/>
  <c r="AR198" i="67" a="1"/>
  <c r="AR198" i="67" s="1"/>
  <c r="B199" i="69"/>
  <c r="L199" i="69" s="1"/>
  <c r="D197" i="69"/>
  <c r="E197" i="69" s="1"/>
  <c r="F197" i="69" s="1"/>
  <c r="G197" i="69" s="1"/>
  <c r="H197" i="69" s="1"/>
  <c r="I197" i="69" s="1"/>
  <c r="J197" i="69" s="1"/>
  <c r="K197" i="69" s="1"/>
  <c r="M197" i="69" s="1"/>
  <c r="AE196" i="69"/>
  <c r="R196" i="69"/>
  <c r="S196" i="69" s="1"/>
  <c r="Y196" i="69" s="1"/>
  <c r="C198" i="69"/>
  <c r="P198" i="69" s="1"/>
  <c r="AL143" i="11" a="1"/>
  <c r="AL143" i="11" s="1"/>
  <c r="E144" i="32" s="1"/>
  <c r="AP153" i="59" a="1"/>
  <c r="AP153" i="59" s="1"/>
  <c r="E154" i="50" s="1"/>
  <c r="AQ43" i="59" a="1"/>
  <c r="AQ43" i="59" s="1"/>
  <c r="AM28" i="11" a="1"/>
  <c r="AM28" i="11" s="1"/>
  <c r="AD142" i="32" l="1"/>
  <c r="AG142" i="32" s="1"/>
  <c r="AH142" i="32" s="1"/>
  <c r="AD152" i="50"/>
  <c r="AG152" i="50" s="1"/>
  <c r="AG213" i="57"/>
  <c r="X211" i="57"/>
  <c r="AF211" i="57" s="1"/>
  <c r="AF210" i="57"/>
  <c r="AB210" i="57"/>
  <c r="M214" i="53"/>
  <c r="AC214" i="53" s="1"/>
  <c r="O214" i="53"/>
  <c r="AP198" i="69"/>
  <c r="N198" i="69"/>
  <c r="U198" i="69" s="1"/>
  <c r="R212" i="57"/>
  <c r="AJ212" i="57"/>
  <c r="AE212" i="57"/>
  <c r="Q212" i="57"/>
  <c r="T212" i="57" s="1"/>
  <c r="AD212" i="57"/>
  <c r="AQ212" i="57"/>
  <c r="AC212" i="57"/>
  <c r="M213" i="57"/>
  <c r="AK213" i="57" s="1"/>
  <c r="Q153" i="50"/>
  <c r="P153" i="50" s="1"/>
  <c r="Q143" i="32"/>
  <c r="P143" i="32" s="1"/>
  <c r="N214" i="53"/>
  <c r="T144" i="32"/>
  <c r="O144" i="32"/>
  <c r="T154" i="50"/>
  <c r="O154" i="50"/>
  <c r="AA212" i="53"/>
  <c r="AB212" i="53"/>
  <c r="AP150" i="50"/>
  <c r="AM143" i="32"/>
  <c r="AJ152" i="50"/>
  <c r="C152" i="50"/>
  <c r="S153" i="50"/>
  <c r="Z153" i="50" s="1"/>
  <c r="AJ142" i="32"/>
  <c r="W142" i="32"/>
  <c r="X142" i="32" s="1"/>
  <c r="C142" i="32"/>
  <c r="S143" i="32"/>
  <c r="Z143" i="32" s="1"/>
  <c r="W152" i="50"/>
  <c r="X151" i="50"/>
  <c r="V152" i="50"/>
  <c r="V142" i="32"/>
  <c r="AF197" i="69"/>
  <c r="Q197" i="69"/>
  <c r="O214" i="57"/>
  <c r="P214" i="57"/>
  <c r="AC195" i="69"/>
  <c r="AD195" i="69" s="1"/>
  <c r="AH151" i="50"/>
  <c r="AI151" i="50" s="1"/>
  <c r="AB196" i="69"/>
  <c r="AG196" i="69"/>
  <c r="O199" i="69"/>
  <c r="AO198" i="69"/>
  <c r="AK154" i="50"/>
  <c r="AE213" i="53"/>
  <c r="AF212" i="53"/>
  <c r="AK144" i="32"/>
  <c r="AM153" i="50"/>
  <c r="AL141" i="32"/>
  <c r="AI140" i="32"/>
  <c r="AN140" i="32" s="1"/>
  <c r="R213" i="53"/>
  <c r="X213" i="53" s="1"/>
  <c r="AL151" i="50"/>
  <c r="AY197" i="69"/>
  <c r="L214" i="57"/>
  <c r="AH213" i="53"/>
  <c r="AT213" i="53"/>
  <c r="AG213" i="53"/>
  <c r="N214" i="57"/>
  <c r="AH197" i="69"/>
  <c r="AD213" i="53"/>
  <c r="Q213" i="53"/>
  <c r="F214" i="53"/>
  <c r="H214" i="53"/>
  <c r="C214" i="53"/>
  <c r="J214" i="53"/>
  <c r="P214" i="53"/>
  <c r="E214" i="53"/>
  <c r="K214" i="53"/>
  <c r="L214" i="53"/>
  <c r="I214" i="53"/>
  <c r="AK213" i="52" a="1"/>
  <c r="AK213" i="52" s="1"/>
  <c r="B215" i="53" s="1"/>
  <c r="D214" i="53"/>
  <c r="G214" i="53"/>
  <c r="A144" i="32"/>
  <c r="B144" i="32"/>
  <c r="R144" i="32" s="1"/>
  <c r="L154" i="50"/>
  <c r="M154" i="50"/>
  <c r="G154" i="50"/>
  <c r="H154" i="50"/>
  <c r="I154" i="50"/>
  <c r="K154" i="50"/>
  <c r="F154" i="50"/>
  <c r="U154" i="50" s="1"/>
  <c r="N154" i="50"/>
  <c r="J154" i="50"/>
  <c r="B154" i="50"/>
  <c r="R154" i="50" s="1"/>
  <c r="A154" i="50"/>
  <c r="H144" i="32"/>
  <c r="K144" i="32"/>
  <c r="L144" i="32"/>
  <c r="G144" i="32"/>
  <c r="F144" i="32"/>
  <c r="U144" i="32" s="1"/>
  <c r="I144" i="32"/>
  <c r="N144" i="32"/>
  <c r="J144" i="32"/>
  <c r="M144" i="32"/>
  <c r="I214" i="57"/>
  <c r="D214" i="57"/>
  <c r="K214" i="57"/>
  <c r="J214" i="57"/>
  <c r="G214" i="57"/>
  <c r="C214" i="57"/>
  <c r="E214" i="57"/>
  <c r="H214" i="57"/>
  <c r="F214" i="57"/>
  <c r="AN213" i="55" a="1"/>
  <c r="AN213" i="55" s="1"/>
  <c r="B215" i="57" s="1"/>
  <c r="AR199" i="67" a="1"/>
  <c r="AR199" i="67" s="1"/>
  <c r="B200" i="69"/>
  <c r="L200" i="69" s="1"/>
  <c r="D198" i="69"/>
  <c r="E198" i="69" s="1"/>
  <c r="F198" i="69" s="1"/>
  <c r="G198" i="69" s="1"/>
  <c r="H198" i="69" s="1"/>
  <c r="I198" i="69" s="1"/>
  <c r="J198" i="69" s="1"/>
  <c r="K198" i="69" s="1"/>
  <c r="M198" i="69" s="1"/>
  <c r="C199" i="69"/>
  <c r="P199" i="69" s="1"/>
  <c r="AE197" i="69"/>
  <c r="R197" i="69"/>
  <c r="S197" i="69" s="1"/>
  <c r="Y197" i="69" s="1"/>
  <c r="AL144" i="11" a="1"/>
  <c r="AL144" i="11" s="1"/>
  <c r="AP154" i="59" a="1"/>
  <c r="AP154" i="59" s="1"/>
  <c r="E155" i="50" s="1"/>
  <c r="AQ44" i="59" a="1"/>
  <c r="AQ44" i="59" s="1"/>
  <c r="AM29" i="11" a="1"/>
  <c r="AM29" i="11" s="1"/>
  <c r="X212" i="57" l="1"/>
  <c r="AB212" i="57" s="1"/>
  <c r="AD143" i="32"/>
  <c r="AG143" i="32" s="1"/>
  <c r="AH143" i="32" s="1"/>
  <c r="AD153" i="50"/>
  <c r="AG153" i="50" s="1"/>
  <c r="AG214" i="57"/>
  <c r="AB211" i="57"/>
  <c r="M215" i="53"/>
  <c r="AC215" i="53" s="1"/>
  <c r="O215" i="53"/>
  <c r="AP199" i="69"/>
  <c r="N199" i="69"/>
  <c r="U199" i="69" s="1"/>
  <c r="AA211" i="57"/>
  <c r="AD213" i="57"/>
  <c r="AJ213" i="57"/>
  <c r="R213" i="57"/>
  <c r="Q213" i="57"/>
  <c r="T213" i="57" s="1"/>
  <c r="AQ213" i="57"/>
  <c r="AC213" i="57"/>
  <c r="AE213" i="57"/>
  <c r="M214" i="57"/>
  <c r="AK214" i="57" s="1"/>
  <c r="Q154" i="50"/>
  <c r="P154" i="50" s="1"/>
  <c r="Q144" i="32"/>
  <c r="P144" i="32" s="1"/>
  <c r="N215" i="53"/>
  <c r="T155" i="50"/>
  <c r="O155" i="50"/>
  <c r="AA213" i="53"/>
  <c r="AB213" i="53"/>
  <c r="AP151" i="50"/>
  <c r="AM144" i="32"/>
  <c r="C153" i="50"/>
  <c r="AJ153" i="50"/>
  <c r="S154" i="50"/>
  <c r="Z154" i="50" s="1"/>
  <c r="C143" i="32"/>
  <c r="AJ143" i="32"/>
  <c r="W143" i="32"/>
  <c r="X143" i="32" s="1"/>
  <c r="S144" i="32"/>
  <c r="Z144" i="32" s="1"/>
  <c r="W153" i="50"/>
  <c r="X152" i="50"/>
  <c r="V153" i="50"/>
  <c r="V143" i="32"/>
  <c r="AF198" i="69"/>
  <c r="Q198" i="69"/>
  <c r="O215" i="57"/>
  <c r="P215" i="57"/>
  <c r="AC196" i="69"/>
  <c r="AD196" i="69" s="1"/>
  <c r="AH152" i="50"/>
  <c r="AI152" i="50" s="1"/>
  <c r="AB197" i="69"/>
  <c r="AG197" i="69"/>
  <c r="O200" i="69"/>
  <c r="AO199" i="69"/>
  <c r="AK155" i="50"/>
  <c r="AE214" i="53"/>
  <c r="AF213" i="53"/>
  <c r="AM154" i="50"/>
  <c r="AL142" i="32"/>
  <c r="R214" i="53"/>
  <c r="X214" i="53" s="1"/>
  <c r="AL152" i="50"/>
  <c r="AI141" i="32"/>
  <c r="AN141" i="32" s="1"/>
  <c r="AY198" i="69"/>
  <c r="L215" i="57"/>
  <c r="AG214" i="53"/>
  <c r="AH214" i="53"/>
  <c r="AT214" i="53"/>
  <c r="N215" i="57"/>
  <c r="L215" i="53"/>
  <c r="AH198" i="69"/>
  <c r="AD214" i="53"/>
  <c r="Q214" i="53"/>
  <c r="AK214" i="52" a="1"/>
  <c r="AK214" i="52" s="1"/>
  <c r="B216" i="53" s="1"/>
  <c r="K215" i="53"/>
  <c r="I215" i="53"/>
  <c r="H215" i="53"/>
  <c r="G215" i="53"/>
  <c r="F215" i="53"/>
  <c r="E215" i="53"/>
  <c r="D215" i="53"/>
  <c r="J215" i="53"/>
  <c r="C215" i="53"/>
  <c r="P215" i="53"/>
  <c r="K155" i="50"/>
  <c r="B155" i="50"/>
  <c r="R155" i="50" s="1"/>
  <c r="N155" i="50"/>
  <c r="A155" i="50"/>
  <c r="I155" i="50"/>
  <c r="F155" i="50"/>
  <c r="U155" i="50" s="1"/>
  <c r="M155" i="50"/>
  <c r="G155" i="50"/>
  <c r="J155" i="50"/>
  <c r="H155" i="50"/>
  <c r="L155" i="50"/>
  <c r="F215" i="57"/>
  <c r="I215" i="57"/>
  <c r="E215" i="57"/>
  <c r="D215" i="57"/>
  <c r="J215" i="57"/>
  <c r="H215" i="57"/>
  <c r="G215" i="57"/>
  <c r="C215" i="57"/>
  <c r="K215" i="57"/>
  <c r="E145" i="32"/>
  <c r="AN214" i="55" a="1"/>
  <c r="AN214" i="55" s="1"/>
  <c r="B216" i="57" s="1"/>
  <c r="AR200" i="67" a="1"/>
  <c r="AR200" i="67" s="1"/>
  <c r="B201" i="69"/>
  <c r="L201" i="69" s="1"/>
  <c r="AE198" i="69"/>
  <c r="R198" i="69"/>
  <c r="S198" i="69" s="1"/>
  <c r="D199" i="69"/>
  <c r="E199" i="69" s="1"/>
  <c r="F199" i="69" s="1"/>
  <c r="G199" i="69" s="1"/>
  <c r="H199" i="69" s="1"/>
  <c r="I199" i="69" s="1"/>
  <c r="J199" i="69" s="1"/>
  <c r="K199" i="69" s="1"/>
  <c r="M199" i="69" s="1"/>
  <c r="C200" i="69"/>
  <c r="P200" i="69" s="1"/>
  <c r="AL145" i="11" a="1"/>
  <c r="AL145" i="11" s="1"/>
  <c r="E146" i="32" s="1"/>
  <c r="AP155" i="59" a="1"/>
  <c r="AP155" i="59" s="1"/>
  <c r="E156" i="50" s="1"/>
  <c r="AQ45" i="59" a="1"/>
  <c r="AQ45" i="59" s="1"/>
  <c r="AM30" i="11" a="1"/>
  <c r="AM30" i="11" s="1"/>
  <c r="X213" i="57" l="1"/>
  <c r="AF213" i="57" s="1"/>
  <c r="AF212" i="57"/>
  <c r="AA212" i="57"/>
  <c r="Y198" i="69"/>
  <c r="AB198" i="69" s="1"/>
  <c r="AC198" i="69" s="1"/>
  <c r="AD198" i="69" s="1"/>
  <c r="AD144" i="32"/>
  <c r="AG144" i="32" s="1"/>
  <c r="AH144" i="32" s="1"/>
  <c r="AD154" i="50"/>
  <c r="AG154" i="50" s="1"/>
  <c r="AG215" i="57"/>
  <c r="R214" i="57"/>
  <c r="M216" i="53"/>
  <c r="AC216" i="53" s="1"/>
  <c r="O216" i="53"/>
  <c r="AP200" i="69"/>
  <c r="N200" i="69"/>
  <c r="U200" i="69" s="1"/>
  <c r="Q214" i="57"/>
  <c r="T214" i="57" s="1"/>
  <c r="AQ214" i="57"/>
  <c r="AC214" i="57"/>
  <c r="AD214" i="57"/>
  <c r="AJ214" i="57"/>
  <c r="AE214" i="57"/>
  <c r="M215" i="57"/>
  <c r="AK215" i="57" s="1"/>
  <c r="Q155" i="50"/>
  <c r="P155" i="50" s="1"/>
  <c r="N216" i="53"/>
  <c r="T146" i="32"/>
  <c r="O146" i="32"/>
  <c r="T145" i="32"/>
  <c r="O145" i="32"/>
  <c r="T156" i="50"/>
  <c r="O156" i="50"/>
  <c r="AA214" i="53"/>
  <c r="AB214" i="53"/>
  <c r="AP152" i="50"/>
  <c r="C154" i="50"/>
  <c r="AJ154" i="50"/>
  <c r="S155" i="50"/>
  <c r="Z155" i="50" s="1"/>
  <c r="C144" i="32"/>
  <c r="AJ144" i="32"/>
  <c r="W144" i="32"/>
  <c r="X144" i="32" s="1"/>
  <c r="W154" i="50"/>
  <c r="X153" i="50"/>
  <c r="V154" i="50"/>
  <c r="V144" i="32"/>
  <c r="AF199" i="69"/>
  <c r="Q199" i="69"/>
  <c r="O216" i="57"/>
  <c r="P216" i="57"/>
  <c r="AC197" i="69"/>
  <c r="AD197" i="69" s="1"/>
  <c r="AH153" i="50"/>
  <c r="AI153" i="50" s="1"/>
  <c r="AO200" i="69"/>
  <c r="O201" i="69"/>
  <c r="AK156" i="50"/>
  <c r="AE215" i="53"/>
  <c r="AF214" i="53"/>
  <c r="AK146" i="32"/>
  <c r="AK145" i="32"/>
  <c r="AM155" i="50"/>
  <c r="AL143" i="32"/>
  <c r="AI142" i="32"/>
  <c r="AN142" i="32" s="1"/>
  <c r="R215" i="53"/>
  <c r="X215" i="53" s="1"/>
  <c r="AL153" i="50"/>
  <c r="AY199" i="69"/>
  <c r="L216" i="57"/>
  <c r="AG215" i="53"/>
  <c r="AH215" i="53"/>
  <c r="AT215" i="53"/>
  <c r="N216" i="57"/>
  <c r="AH199" i="69"/>
  <c r="Q215" i="53"/>
  <c r="AD215" i="53"/>
  <c r="J216" i="53"/>
  <c r="P216" i="53"/>
  <c r="AK215" i="52" a="1"/>
  <c r="AK215" i="52" s="1"/>
  <c r="B217" i="53" s="1"/>
  <c r="F216" i="53"/>
  <c r="L216" i="53"/>
  <c r="D216" i="53"/>
  <c r="H216" i="53"/>
  <c r="K216" i="53"/>
  <c r="C216" i="53"/>
  <c r="E216" i="53"/>
  <c r="G216" i="53"/>
  <c r="I216" i="53"/>
  <c r="A146" i="32"/>
  <c r="B146" i="32"/>
  <c r="R146" i="32" s="1"/>
  <c r="A145" i="32"/>
  <c r="B145" i="32"/>
  <c r="R145" i="32" s="1"/>
  <c r="F156" i="50"/>
  <c r="U156" i="50" s="1"/>
  <c r="I156" i="50"/>
  <c r="K156" i="50"/>
  <c r="M156" i="50"/>
  <c r="H156" i="50"/>
  <c r="A156" i="50"/>
  <c r="J156" i="50"/>
  <c r="L156" i="50"/>
  <c r="G156" i="50"/>
  <c r="B156" i="50"/>
  <c r="R156" i="50" s="1"/>
  <c r="N156" i="50"/>
  <c r="L146" i="32"/>
  <c r="G146" i="32"/>
  <c r="H146" i="32"/>
  <c r="K146" i="32"/>
  <c r="M146" i="32"/>
  <c r="J146" i="32"/>
  <c r="F146" i="32"/>
  <c r="U146" i="32" s="1"/>
  <c r="I146" i="32"/>
  <c r="N146" i="32"/>
  <c r="F145" i="32"/>
  <c r="U145" i="32" s="1"/>
  <c r="N145" i="32"/>
  <c r="I145" i="32"/>
  <c r="J145" i="32"/>
  <c r="M145" i="32"/>
  <c r="G145" i="32"/>
  <c r="L145" i="32"/>
  <c r="H145" i="32"/>
  <c r="K145" i="32"/>
  <c r="J216" i="57"/>
  <c r="I216" i="57"/>
  <c r="F216" i="57"/>
  <c r="E216" i="57"/>
  <c r="D216" i="57"/>
  <c r="K216" i="57"/>
  <c r="G216" i="57"/>
  <c r="C216" i="57"/>
  <c r="H216" i="57"/>
  <c r="AN215" i="55" a="1"/>
  <c r="AN215" i="55" s="1"/>
  <c r="B217" i="57" s="1"/>
  <c r="AR201" i="67" a="1"/>
  <c r="AR201" i="67" s="1"/>
  <c r="B202" i="69"/>
  <c r="L202" i="69" s="1"/>
  <c r="D200" i="69"/>
  <c r="E200" i="69" s="1"/>
  <c r="F200" i="69" s="1"/>
  <c r="G200" i="69" s="1"/>
  <c r="H200" i="69" s="1"/>
  <c r="I200" i="69" s="1"/>
  <c r="J200" i="69" s="1"/>
  <c r="K200" i="69" s="1"/>
  <c r="M200" i="69" s="1"/>
  <c r="AE199" i="69"/>
  <c r="R199" i="69"/>
  <c r="S199" i="69" s="1"/>
  <c r="Y199" i="69" s="1"/>
  <c r="C201" i="69"/>
  <c r="P201" i="69" s="1"/>
  <c r="AL146" i="11" a="1"/>
  <c r="AL146" i="11" s="1"/>
  <c r="E147" i="32" s="1"/>
  <c r="AP156" i="59" a="1"/>
  <c r="AP156" i="59" s="1"/>
  <c r="E157" i="50" s="1"/>
  <c r="AQ46" i="59" a="1"/>
  <c r="AQ46" i="59" s="1"/>
  <c r="AM31" i="11" a="1"/>
  <c r="AM31" i="11" s="1"/>
  <c r="AB213" i="57" l="1"/>
  <c r="AG198" i="69"/>
  <c r="AD155" i="50"/>
  <c r="AG155" i="50" s="1"/>
  <c r="AG216" i="57"/>
  <c r="X214" i="57"/>
  <c r="AB214" i="57" s="1"/>
  <c r="M217" i="53"/>
  <c r="AC217" i="53" s="1"/>
  <c r="O217" i="53"/>
  <c r="AP201" i="69"/>
  <c r="N201" i="69"/>
  <c r="U201" i="69" s="1"/>
  <c r="R215" i="57"/>
  <c r="AD215" i="57"/>
  <c r="AC215" i="57"/>
  <c r="AQ215" i="57"/>
  <c r="Q215" i="57"/>
  <c r="T215" i="57" s="1"/>
  <c r="AJ215" i="57"/>
  <c r="AE215" i="57"/>
  <c r="AA213" i="57"/>
  <c r="M216" i="57"/>
  <c r="AK216" i="57" s="1"/>
  <c r="Q156" i="50"/>
  <c r="P156" i="50" s="1"/>
  <c r="Q145" i="32"/>
  <c r="P145" i="32" s="1"/>
  <c r="Q146" i="32"/>
  <c r="P146" i="32" s="1"/>
  <c r="N217" i="53"/>
  <c r="T147" i="32"/>
  <c r="O147" i="32"/>
  <c r="T157" i="50"/>
  <c r="O157" i="50"/>
  <c r="AA215" i="53"/>
  <c r="AB215" i="53"/>
  <c r="AP153" i="50"/>
  <c r="AM146" i="32"/>
  <c r="AM145" i="32"/>
  <c r="C155" i="50"/>
  <c r="AJ155" i="50"/>
  <c r="S156" i="50"/>
  <c r="Z156" i="50" s="1"/>
  <c r="S145" i="32"/>
  <c r="Z145" i="32" s="1"/>
  <c r="S146" i="32"/>
  <c r="Z146" i="32" s="1"/>
  <c r="W155" i="50"/>
  <c r="X154" i="50"/>
  <c r="V155" i="50"/>
  <c r="AF200" i="69"/>
  <c r="Q200" i="69"/>
  <c r="O217" i="57"/>
  <c r="P217" i="57"/>
  <c r="AH154" i="50"/>
  <c r="AI154" i="50" s="1"/>
  <c r="AB199" i="69"/>
  <c r="AG199" i="69"/>
  <c r="O202" i="69"/>
  <c r="AO201" i="69"/>
  <c r="AK157" i="50"/>
  <c r="AE216" i="53"/>
  <c r="AF215" i="53"/>
  <c r="AK147" i="32"/>
  <c r="AM156" i="50"/>
  <c r="AL144" i="32"/>
  <c r="AI143" i="32"/>
  <c r="AN143" i="32" s="1"/>
  <c r="R216" i="53"/>
  <c r="X216" i="53" s="1"/>
  <c r="AL154" i="50"/>
  <c r="AY200" i="69"/>
  <c r="L217" i="57"/>
  <c r="AH216" i="53"/>
  <c r="AT216" i="53"/>
  <c r="AG216" i="53"/>
  <c r="N217" i="57"/>
  <c r="F217" i="53"/>
  <c r="AH200" i="69"/>
  <c r="AD216" i="53"/>
  <c r="Q216" i="53"/>
  <c r="L217" i="53"/>
  <c r="G217" i="53"/>
  <c r="J217" i="53"/>
  <c r="P217" i="53"/>
  <c r="D217" i="53"/>
  <c r="K217" i="53"/>
  <c r="AK216" i="52" a="1"/>
  <c r="AK216" i="52" s="1"/>
  <c r="B218" i="53" s="1"/>
  <c r="C217" i="53"/>
  <c r="I217" i="53"/>
  <c r="H217" i="53"/>
  <c r="E217" i="53"/>
  <c r="A147" i="32"/>
  <c r="B147" i="32"/>
  <c r="R147" i="32" s="1"/>
  <c r="F157" i="50"/>
  <c r="U157" i="50" s="1"/>
  <c r="J157" i="50"/>
  <c r="I157" i="50"/>
  <c r="G157" i="50"/>
  <c r="M157" i="50"/>
  <c r="K157" i="50"/>
  <c r="N157" i="50"/>
  <c r="H157" i="50"/>
  <c r="A157" i="50"/>
  <c r="B157" i="50"/>
  <c r="R157" i="50" s="1"/>
  <c r="L157" i="50"/>
  <c r="J147" i="32"/>
  <c r="M147" i="32"/>
  <c r="F147" i="32"/>
  <c r="U147" i="32" s="1"/>
  <c r="N147" i="32"/>
  <c r="I147" i="32"/>
  <c r="H147" i="32"/>
  <c r="K147" i="32"/>
  <c r="G147" i="32"/>
  <c r="L147" i="32"/>
  <c r="C217" i="57"/>
  <c r="K217" i="57"/>
  <c r="H217" i="57"/>
  <c r="F217" i="57"/>
  <c r="I217" i="57"/>
  <c r="E217" i="57"/>
  <c r="G217" i="57"/>
  <c r="D217" i="57"/>
  <c r="J217" i="57"/>
  <c r="AN216" i="55" a="1"/>
  <c r="AN216" i="55" s="1"/>
  <c r="B218" i="57" s="1"/>
  <c r="AR202" i="67" a="1"/>
  <c r="AR202" i="67" s="1"/>
  <c r="B203" i="69"/>
  <c r="L203" i="69" s="1"/>
  <c r="AE200" i="69"/>
  <c r="R200" i="69"/>
  <c r="S200" i="69" s="1"/>
  <c r="Y200" i="69" s="1"/>
  <c r="D201" i="69"/>
  <c r="E201" i="69" s="1"/>
  <c r="F201" i="69" s="1"/>
  <c r="G201" i="69" s="1"/>
  <c r="H201" i="69" s="1"/>
  <c r="I201" i="69" s="1"/>
  <c r="J201" i="69" s="1"/>
  <c r="K201" i="69" s="1"/>
  <c r="M201" i="69" s="1"/>
  <c r="C202" i="69"/>
  <c r="P202" i="69" s="1"/>
  <c r="AL147" i="11" a="1"/>
  <c r="AL147" i="11" s="1"/>
  <c r="E148" i="32" s="1"/>
  <c r="AP157" i="59" a="1"/>
  <c r="AP157" i="59" s="1"/>
  <c r="E158" i="50" s="1"/>
  <c r="AQ47" i="59" a="1"/>
  <c r="AQ47" i="59" s="1"/>
  <c r="AM32" i="11" a="1"/>
  <c r="AM32" i="11" s="1"/>
  <c r="AD146" i="32" l="1"/>
  <c r="AG146" i="32" s="1"/>
  <c r="AH146" i="32" s="1"/>
  <c r="AD145" i="32"/>
  <c r="AG145" i="32" s="1"/>
  <c r="AH145" i="32" s="1"/>
  <c r="AD156" i="50"/>
  <c r="AG156" i="50" s="1"/>
  <c r="AG217" i="57"/>
  <c r="X215" i="57"/>
  <c r="AB215" i="57" s="1"/>
  <c r="AA214" i="57"/>
  <c r="AE216" i="57"/>
  <c r="AF214" i="57"/>
  <c r="Q216" i="57"/>
  <c r="T216" i="57" s="1"/>
  <c r="AC216" i="57"/>
  <c r="M218" i="53"/>
  <c r="AC218" i="53" s="1"/>
  <c r="O218" i="53"/>
  <c r="AP202" i="69"/>
  <c r="N202" i="69"/>
  <c r="U202" i="69" s="1"/>
  <c r="AQ216" i="57"/>
  <c r="AD216" i="57"/>
  <c r="AJ216" i="57"/>
  <c r="R216" i="57"/>
  <c r="M217" i="57"/>
  <c r="AK217" i="57" s="1"/>
  <c r="Q157" i="50"/>
  <c r="P157" i="50" s="1"/>
  <c r="Q147" i="32"/>
  <c r="P147" i="32" s="1"/>
  <c r="N218" i="53"/>
  <c r="T148" i="32"/>
  <c r="O148" i="32"/>
  <c r="T158" i="50"/>
  <c r="O158" i="50"/>
  <c r="AA216" i="53"/>
  <c r="AB216" i="53"/>
  <c r="AP154" i="50"/>
  <c r="AM147" i="32"/>
  <c r="AJ156" i="50"/>
  <c r="C156" i="50"/>
  <c r="S157" i="50"/>
  <c r="C146" i="32"/>
  <c r="AJ146" i="32"/>
  <c r="W146" i="32"/>
  <c r="X146" i="32" s="1"/>
  <c r="W145" i="32"/>
  <c r="X145" i="32" s="1"/>
  <c r="C145" i="32"/>
  <c r="AJ145" i="32"/>
  <c r="S147" i="32"/>
  <c r="Z147" i="32" s="1"/>
  <c r="W156" i="50"/>
  <c r="X155" i="50"/>
  <c r="V156" i="50"/>
  <c r="V146" i="32"/>
  <c r="V145" i="32"/>
  <c r="AF201" i="69"/>
  <c r="Q201" i="69"/>
  <c r="O218" i="57"/>
  <c r="P218" i="57"/>
  <c r="AC199" i="69"/>
  <c r="AD199" i="69" s="1"/>
  <c r="AH155" i="50"/>
  <c r="AI155" i="50" s="1"/>
  <c r="AB200" i="69"/>
  <c r="AG200" i="69"/>
  <c r="O203" i="69"/>
  <c r="AO202" i="69"/>
  <c r="AK158" i="50"/>
  <c r="AF216" i="53"/>
  <c r="AE217" i="53"/>
  <c r="AK148" i="32"/>
  <c r="AM157" i="50"/>
  <c r="AI144" i="32"/>
  <c r="AN144" i="32" s="1"/>
  <c r="R217" i="53"/>
  <c r="X217" i="53" s="1"/>
  <c r="AL155" i="50"/>
  <c r="AY201" i="69"/>
  <c r="L218" i="57"/>
  <c r="AH217" i="53"/>
  <c r="AT217" i="53"/>
  <c r="AG217" i="53"/>
  <c r="N218" i="57"/>
  <c r="AH201" i="69"/>
  <c r="AD217" i="53"/>
  <c r="Q217" i="53"/>
  <c r="L218" i="53"/>
  <c r="G218" i="53"/>
  <c r="AK217" i="52" a="1"/>
  <c r="AK217" i="52" s="1"/>
  <c r="B219" i="53" s="1"/>
  <c r="D218" i="53"/>
  <c r="I218" i="53"/>
  <c r="F218" i="53"/>
  <c r="H218" i="53"/>
  <c r="E218" i="53"/>
  <c r="C218" i="53"/>
  <c r="P218" i="53"/>
  <c r="J218" i="53"/>
  <c r="K218" i="53"/>
  <c r="A148" i="32"/>
  <c r="B148" i="32"/>
  <c r="R148" i="32" s="1"/>
  <c r="G158" i="50"/>
  <c r="K158" i="50"/>
  <c r="M158" i="50"/>
  <c r="L158" i="50"/>
  <c r="A158" i="50"/>
  <c r="I158" i="50"/>
  <c r="H158" i="50"/>
  <c r="F158" i="50"/>
  <c r="U158" i="50" s="1"/>
  <c r="N158" i="50"/>
  <c r="J158" i="50"/>
  <c r="B158" i="50"/>
  <c r="R158" i="50" s="1"/>
  <c r="H148" i="32"/>
  <c r="K148" i="32"/>
  <c r="L148" i="32"/>
  <c r="G148" i="32"/>
  <c r="I148" i="32"/>
  <c r="N148" i="32"/>
  <c r="F148" i="32"/>
  <c r="U148" i="32" s="1"/>
  <c r="J148" i="32"/>
  <c r="M148" i="32"/>
  <c r="H218" i="57"/>
  <c r="I218" i="57"/>
  <c r="D218" i="57"/>
  <c r="F218" i="57"/>
  <c r="K218" i="57"/>
  <c r="G218" i="57"/>
  <c r="E218" i="57"/>
  <c r="C218" i="57"/>
  <c r="J218" i="57"/>
  <c r="AN217" i="55" a="1"/>
  <c r="AN217" i="55" s="1"/>
  <c r="B219" i="57" s="1"/>
  <c r="C203" i="69"/>
  <c r="P203" i="69" s="1"/>
  <c r="AE201" i="69"/>
  <c r="R201" i="69"/>
  <c r="S201" i="69" s="1"/>
  <c r="Y201" i="69" s="1"/>
  <c r="D202" i="69"/>
  <c r="E202" i="69" s="1"/>
  <c r="F202" i="69" s="1"/>
  <c r="G202" i="69" s="1"/>
  <c r="H202" i="69" s="1"/>
  <c r="I202" i="69" s="1"/>
  <c r="J202" i="69" s="1"/>
  <c r="K202" i="69" s="1"/>
  <c r="M202" i="69" s="1"/>
  <c r="AR203" i="67" a="1"/>
  <c r="AR203" i="67" s="1"/>
  <c r="B204" i="69"/>
  <c r="L204" i="69" s="1"/>
  <c r="AL148" i="11" a="1"/>
  <c r="AL148" i="11" s="1"/>
  <c r="E149" i="32" s="1"/>
  <c r="AP158" i="59" a="1"/>
  <c r="AP158" i="59" s="1"/>
  <c r="E159" i="50" s="1"/>
  <c r="AQ48" i="59" a="1"/>
  <c r="AQ48" i="59" s="1"/>
  <c r="AM33" i="11" a="1"/>
  <c r="AM33" i="11" s="1"/>
  <c r="AA215" i="57" l="1"/>
  <c r="AD147" i="32"/>
  <c r="AG147" i="32" s="1"/>
  <c r="AH147" i="32" s="1"/>
  <c r="AD157" i="50"/>
  <c r="AG157" i="50" s="1"/>
  <c r="AF215" i="57"/>
  <c r="X216" i="57"/>
  <c r="AB216" i="57" s="1"/>
  <c r="AG218" i="57"/>
  <c r="AE217" i="57"/>
  <c r="M219" i="53"/>
  <c r="AC219" i="53" s="1"/>
  <c r="O219" i="53"/>
  <c r="AP203" i="69"/>
  <c r="N203" i="69"/>
  <c r="U203" i="69" s="1"/>
  <c r="AQ217" i="57"/>
  <c r="R217" i="57"/>
  <c r="AJ217" i="57"/>
  <c r="AD217" i="57"/>
  <c r="Q217" i="57"/>
  <c r="T217" i="57" s="1"/>
  <c r="AC217" i="57"/>
  <c r="M218" i="57"/>
  <c r="AK218" i="57" s="1"/>
  <c r="Q158" i="50"/>
  <c r="P158" i="50" s="1"/>
  <c r="Q148" i="32"/>
  <c r="P148" i="32" s="1"/>
  <c r="N219" i="53"/>
  <c r="T149" i="32"/>
  <c r="O149" i="32"/>
  <c r="T159" i="50"/>
  <c r="O159" i="50"/>
  <c r="AP155" i="50"/>
  <c r="AA217" i="53"/>
  <c r="AB217" i="53"/>
  <c r="C157" i="50"/>
  <c r="Z157" i="50"/>
  <c r="AM148" i="32"/>
  <c r="S158" i="50"/>
  <c r="Z158" i="50" s="1"/>
  <c r="AJ157" i="50"/>
  <c r="C147" i="32"/>
  <c r="AJ147" i="32"/>
  <c r="W147" i="32"/>
  <c r="X147" i="32" s="1"/>
  <c r="S148" i="32"/>
  <c r="Z148" i="32" s="1"/>
  <c r="W157" i="50"/>
  <c r="X156" i="50"/>
  <c r="V157" i="50"/>
  <c r="V147" i="32"/>
  <c r="AF202" i="69"/>
  <c r="Q202" i="69"/>
  <c r="O219" i="57"/>
  <c r="P219" i="57"/>
  <c r="AC200" i="69"/>
  <c r="AD200" i="69" s="1"/>
  <c r="AH156" i="50"/>
  <c r="AI156" i="50" s="1"/>
  <c r="AB201" i="69"/>
  <c r="AG201" i="69"/>
  <c r="O204" i="69"/>
  <c r="AO203" i="69"/>
  <c r="AK159" i="50"/>
  <c r="AE218" i="53"/>
  <c r="AF217" i="53"/>
  <c r="AK149" i="32"/>
  <c r="AM158" i="50"/>
  <c r="AL146" i="32"/>
  <c r="AL145" i="32"/>
  <c r="R218" i="53"/>
  <c r="X218" i="53" s="1"/>
  <c r="AL156" i="50"/>
  <c r="AY202" i="69"/>
  <c r="L219" i="57"/>
  <c r="AH218" i="53"/>
  <c r="AT218" i="53"/>
  <c r="AG218" i="53"/>
  <c r="N219" i="57"/>
  <c r="AH202" i="69"/>
  <c r="Q218" i="53"/>
  <c r="AD218" i="53"/>
  <c r="H219" i="53"/>
  <c r="P219" i="53"/>
  <c r="L219" i="53"/>
  <c r="K219" i="53"/>
  <c r="E219" i="53"/>
  <c r="F219" i="53"/>
  <c r="D219" i="53"/>
  <c r="I219" i="53"/>
  <c r="AK218" i="52" a="1"/>
  <c r="AK218" i="52" s="1"/>
  <c r="B220" i="53" s="1"/>
  <c r="G219" i="53"/>
  <c r="J219" i="53"/>
  <c r="C219" i="53"/>
  <c r="A149" i="32"/>
  <c r="B149" i="32"/>
  <c r="R149" i="32" s="1"/>
  <c r="F159" i="50"/>
  <c r="U159" i="50" s="1"/>
  <c r="A159" i="50"/>
  <c r="L159" i="50"/>
  <c r="B159" i="50"/>
  <c r="R159" i="50" s="1"/>
  <c r="K159" i="50"/>
  <c r="J159" i="50"/>
  <c r="G159" i="50"/>
  <c r="N159" i="50"/>
  <c r="M159" i="50"/>
  <c r="I159" i="50"/>
  <c r="H159" i="50"/>
  <c r="F149" i="32"/>
  <c r="U149" i="32" s="1"/>
  <c r="N149" i="32"/>
  <c r="I149" i="32"/>
  <c r="J149" i="32"/>
  <c r="M149" i="32"/>
  <c r="G149" i="32"/>
  <c r="L149" i="32"/>
  <c r="H149" i="32"/>
  <c r="K149" i="32"/>
  <c r="G219" i="57"/>
  <c r="K219" i="57"/>
  <c r="F219" i="57"/>
  <c r="H219" i="57"/>
  <c r="C219" i="57"/>
  <c r="E219" i="57"/>
  <c r="I219" i="57"/>
  <c r="D219" i="57"/>
  <c r="J219" i="57"/>
  <c r="AN218" i="55" a="1"/>
  <c r="AN218" i="55" s="1"/>
  <c r="B220" i="57" s="1"/>
  <c r="AR204" i="67" a="1"/>
  <c r="AR204" i="67" s="1"/>
  <c r="B205" i="69"/>
  <c r="L205" i="69" s="1"/>
  <c r="D203" i="69"/>
  <c r="E203" i="69" s="1"/>
  <c r="F203" i="69" s="1"/>
  <c r="G203" i="69" s="1"/>
  <c r="H203" i="69" s="1"/>
  <c r="I203" i="69" s="1"/>
  <c r="J203" i="69" s="1"/>
  <c r="K203" i="69" s="1"/>
  <c r="M203" i="69" s="1"/>
  <c r="R202" i="69"/>
  <c r="S202" i="69" s="1"/>
  <c r="Y202" i="69" s="1"/>
  <c r="AE202" i="69"/>
  <c r="C204" i="69"/>
  <c r="P204" i="69" s="1"/>
  <c r="AL149" i="11" a="1"/>
  <c r="AL149" i="11" s="1"/>
  <c r="E150" i="32" s="1"/>
  <c r="AP159" i="59" a="1"/>
  <c r="AP159" i="59" s="1"/>
  <c r="E160" i="50" s="1"/>
  <c r="AQ49" i="59" a="1"/>
  <c r="AQ49" i="59" s="1"/>
  <c r="AM34" i="11" a="1"/>
  <c r="AM34" i="11" s="1"/>
  <c r="AD148" i="32" l="1"/>
  <c r="AG148" i="32" s="1"/>
  <c r="AH148" i="32" s="1"/>
  <c r="AD158" i="50"/>
  <c r="AG158" i="50" s="1"/>
  <c r="X217" i="57"/>
  <c r="AB217" i="57" s="1"/>
  <c r="AG219" i="57"/>
  <c r="R218" i="57"/>
  <c r="AA216" i="57"/>
  <c r="AF216" i="57"/>
  <c r="AD218" i="57"/>
  <c r="Q218" i="57"/>
  <c r="T218" i="57" s="1"/>
  <c r="AE218" i="57"/>
  <c r="AJ218" i="57"/>
  <c r="M220" i="53"/>
  <c r="AC220" i="53" s="1"/>
  <c r="O220" i="53"/>
  <c r="AP204" i="69"/>
  <c r="N204" i="69"/>
  <c r="U204" i="69" s="1"/>
  <c r="AQ218" i="57"/>
  <c r="AC218" i="57"/>
  <c r="M219" i="57"/>
  <c r="AK219" i="57" s="1"/>
  <c r="Q159" i="50"/>
  <c r="P159" i="50" s="1"/>
  <c r="Q149" i="32"/>
  <c r="P149" i="32" s="1"/>
  <c r="N220" i="53"/>
  <c r="T150" i="32"/>
  <c r="O150" i="32"/>
  <c r="T160" i="50"/>
  <c r="O160" i="50"/>
  <c r="AA218" i="53"/>
  <c r="AB218" i="53"/>
  <c r="AP156" i="50"/>
  <c r="AM149" i="32"/>
  <c r="C158" i="50"/>
  <c r="AJ158" i="50"/>
  <c r="S159" i="50"/>
  <c r="C148" i="32"/>
  <c r="AJ148" i="32"/>
  <c r="W148" i="32"/>
  <c r="X148" i="32" s="1"/>
  <c r="S149" i="32"/>
  <c r="Z149" i="32" s="1"/>
  <c r="W158" i="50"/>
  <c r="X157" i="50"/>
  <c r="V158" i="50"/>
  <c r="V148" i="32"/>
  <c r="AF203" i="69"/>
  <c r="Q203" i="69"/>
  <c r="O220" i="57"/>
  <c r="P220" i="57"/>
  <c r="AC201" i="69"/>
  <c r="AD201" i="69" s="1"/>
  <c r="AH157" i="50"/>
  <c r="AI157" i="50" s="1"/>
  <c r="AB202" i="69"/>
  <c r="AG202" i="69"/>
  <c r="O205" i="69"/>
  <c r="AO204" i="69"/>
  <c r="AK160" i="50"/>
  <c r="AE219" i="53"/>
  <c r="AF218" i="53"/>
  <c r="AK150" i="32"/>
  <c r="AM159" i="50"/>
  <c r="AL147" i="32"/>
  <c r="AI146" i="32"/>
  <c r="AN146" i="32" s="1"/>
  <c r="R219" i="53"/>
  <c r="X219" i="53" s="1"/>
  <c r="AL157" i="50"/>
  <c r="AI145" i="32"/>
  <c r="AN145" i="32" s="1"/>
  <c r="AY203" i="69"/>
  <c r="L220" i="57"/>
  <c r="AG219" i="53"/>
  <c r="AH219" i="53"/>
  <c r="AT219" i="53"/>
  <c r="N220" i="57"/>
  <c r="AH203" i="69"/>
  <c r="AD219" i="53"/>
  <c r="AK219" i="52" a="1"/>
  <c r="AK219" i="52" s="1"/>
  <c r="B221" i="53" s="1"/>
  <c r="G220" i="53"/>
  <c r="D220" i="53"/>
  <c r="K220" i="53"/>
  <c r="Q219" i="53"/>
  <c r="J220" i="53"/>
  <c r="L220" i="53"/>
  <c r="H220" i="53"/>
  <c r="C220" i="53"/>
  <c r="F220" i="53"/>
  <c r="P220" i="53"/>
  <c r="I220" i="53"/>
  <c r="E220" i="53"/>
  <c r="A150" i="32"/>
  <c r="B150" i="32"/>
  <c r="R150" i="32" s="1"/>
  <c r="F160" i="50"/>
  <c r="U160" i="50" s="1"/>
  <c r="J160" i="50"/>
  <c r="M160" i="50"/>
  <c r="G160" i="50"/>
  <c r="K160" i="50"/>
  <c r="B160" i="50"/>
  <c r="R160" i="50" s="1"/>
  <c r="N160" i="50"/>
  <c r="L160" i="50"/>
  <c r="H160" i="50"/>
  <c r="I160" i="50"/>
  <c r="A160" i="50"/>
  <c r="L150" i="32"/>
  <c r="G150" i="32"/>
  <c r="H150" i="32"/>
  <c r="K150" i="32"/>
  <c r="J150" i="32"/>
  <c r="M150" i="32"/>
  <c r="F150" i="32"/>
  <c r="U150" i="32" s="1"/>
  <c r="I150" i="32"/>
  <c r="N150" i="32"/>
  <c r="I220" i="57"/>
  <c r="F220" i="57"/>
  <c r="D220" i="57"/>
  <c r="H220" i="57"/>
  <c r="J220" i="57"/>
  <c r="G220" i="57"/>
  <c r="E220" i="57"/>
  <c r="C220" i="57"/>
  <c r="K220" i="57"/>
  <c r="AN219" i="55" a="1"/>
  <c r="AN219" i="55" s="1"/>
  <c r="B221" i="57" s="1"/>
  <c r="AR205" i="67" a="1"/>
  <c r="AR205" i="67" s="1"/>
  <c r="B206" i="69"/>
  <c r="L206" i="69" s="1"/>
  <c r="D204" i="69"/>
  <c r="E204" i="69" s="1"/>
  <c r="F204" i="69" s="1"/>
  <c r="G204" i="69" s="1"/>
  <c r="H204" i="69" s="1"/>
  <c r="I204" i="69" s="1"/>
  <c r="J204" i="69" s="1"/>
  <c r="K204" i="69" s="1"/>
  <c r="M204" i="69" s="1"/>
  <c r="C205" i="69"/>
  <c r="P205" i="69" s="1"/>
  <c r="AE203" i="69"/>
  <c r="R203" i="69"/>
  <c r="S203" i="69" s="1"/>
  <c r="Y203" i="69" s="1"/>
  <c r="AL150" i="11" a="1"/>
  <c r="AL150" i="11" s="1"/>
  <c r="E151" i="32" s="1"/>
  <c r="AP160" i="59" a="1"/>
  <c r="AP160" i="59" s="1"/>
  <c r="E161" i="50" s="1"/>
  <c r="AQ50" i="59" a="1"/>
  <c r="AQ50" i="59" s="1"/>
  <c r="AM35" i="11" a="1"/>
  <c r="AM35" i="11" s="1"/>
  <c r="X218" i="57" l="1"/>
  <c r="AB218" i="57" s="1"/>
  <c r="AD149" i="32"/>
  <c r="AG149" i="32" s="1"/>
  <c r="AH149" i="32" s="1"/>
  <c r="AD159" i="50"/>
  <c r="AG159" i="50" s="1"/>
  <c r="AG220" i="57"/>
  <c r="Q219" i="57"/>
  <c r="T219" i="57" s="1"/>
  <c r="AQ219" i="57"/>
  <c r="M221" i="53"/>
  <c r="AC221" i="53" s="1"/>
  <c r="O221" i="53"/>
  <c r="AP205" i="69"/>
  <c r="N205" i="69"/>
  <c r="U205" i="69" s="1"/>
  <c r="AA217" i="57"/>
  <c r="AE219" i="57"/>
  <c r="AF217" i="57"/>
  <c r="AD219" i="57"/>
  <c r="R219" i="57"/>
  <c r="AJ219" i="57"/>
  <c r="AC219" i="57"/>
  <c r="M220" i="57"/>
  <c r="AK220" i="57" s="1"/>
  <c r="Q160" i="50"/>
  <c r="P160" i="50" s="1"/>
  <c r="Q150" i="32"/>
  <c r="P150" i="32" s="1"/>
  <c r="N221" i="53"/>
  <c r="T151" i="32"/>
  <c r="O151" i="32"/>
  <c r="O161" i="50"/>
  <c r="T161" i="50"/>
  <c r="AA219" i="53"/>
  <c r="AB219" i="53"/>
  <c r="AP157" i="50"/>
  <c r="C159" i="50"/>
  <c r="Z159" i="50"/>
  <c r="AM150" i="32"/>
  <c r="S160" i="50"/>
  <c r="Z160" i="50" s="1"/>
  <c r="AJ159" i="50"/>
  <c r="C149" i="32"/>
  <c r="AJ149" i="32"/>
  <c r="W149" i="32"/>
  <c r="X149" i="32" s="1"/>
  <c r="S150" i="32"/>
  <c r="Z150" i="32" s="1"/>
  <c r="W159" i="50"/>
  <c r="X158" i="50"/>
  <c r="V159" i="50"/>
  <c r="V149" i="32"/>
  <c r="AF204" i="69"/>
  <c r="Q204" i="69"/>
  <c r="O221" i="57"/>
  <c r="P221" i="57"/>
  <c r="AC202" i="69"/>
  <c r="AD202" i="69" s="1"/>
  <c r="AH158" i="50"/>
  <c r="AI158" i="50" s="1"/>
  <c r="AB203" i="69"/>
  <c r="AG203" i="69"/>
  <c r="O206" i="69"/>
  <c r="AO205" i="69"/>
  <c r="AK161" i="50"/>
  <c r="AF219" i="53"/>
  <c r="AE220" i="53"/>
  <c r="AK151" i="32"/>
  <c r="AM160" i="50"/>
  <c r="AL148" i="32"/>
  <c r="AI147" i="32"/>
  <c r="AN147" i="32" s="1"/>
  <c r="R220" i="53"/>
  <c r="X220" i="53" s="1"/>
  <c r="AL158" i="50"/>
  <c r="AY204" i="69"/>
  <c r="L221" i="57"/>
  <c r="AG220" i="53"/>
  <c r="AH220" i="53"/>
  <c r="AT220" i="53"/>
  <c r="N221" i="57"/>
  <c r="P221" i="53"/>
  <c r="AH204" i="69"/>
  <c r="AD220" i="53"/>
  <c r="Q220" i="53"/>
  <c r="E221" i="53"/>
  <c r="C221" i="53"/>
  <c r="K221" i="53"/>
  <c r="I221" i="53"/>
  <c r="H221" i="53"/>
  <c r="L221" i="53"/>
  <c r="G221" i="53"/>
  <c r="F221" i="53"/>
  <c r="AK220" i="52" a="1"/>
  <c r="AK220" i="52" s="1"/>
  <c r="B222" i="53" s="1"/>
  <c r="J221" i="53"/>
  <c r="D221" i="53"/>
  <c r="A151" i="32"/>
  <c r="B151" i="32"/>
  <c r="R151" i="32" s="1"/>
  <c r="H161" i="50"/>
  <c r="I161" i="50"/>
  <c r="J161" i="50"/>
  <c r="F161" i="50"/>
  <c r="U161" i="50" s="1"/>
  <c r="L161" i="50"/>
  <c r="M161" i="50"/>
  <c r="K161" i="50"/>
  <c r="N161" i="50"/>
  <c r="B161" i="50"/>
  <c r="R161" i="50" s="1"/>
  <c r="A161" i="50"/>
  <c r="G161" i="50"/>
  <c r="J151" i="32"/>
  <c r="M151" i="32"/>
  <c r="F151" i="32"/>
  <c r="U151" i="32" s="1"/>
  <c r="N151" i="32"/>
  <c r="I151" i="32"/>
  <c r="K151" i="32"/>
  <c r="H151" i="32"/>
  <c r="L151" i="32"/>
  <c r="G151" i="32"/>
  <c r="F221" i="57"/>
  <c r="D221" i="57"/>
  <c r="C221" i="57"/>
  <c r="K221" i="57"/>
  <c r="J221" i="57"/>
  <c r="H221" i="57"/>
  <c r="I221" i="57"/>
  <c r="E221" i="57"/>
  <c r="G221" i="57"/>
  <c r="AN220" i="55" a="1"/>
  <c r="AN220" i="55" s="1"/>
  <c r="B222" i="57" s="1"/>
  <c r="AR206" i="67" a="1"/>
  <c r="AR206" i="67" s="1"/>
  <c r="B207" i="69"/>
  <c r="L207" i="69" s="1"/>
  <c r="AE204" i="69"/>
  <c r="R204" i="69"/>
  <c r="S204" i="69" s="1"/>
  <c r="Y204" i="69" s="1"/>
  <c r="D205" i="69"/>
  <c r="E205" i="69" s="1"/>
  <c r="F205" i="69" s="1"/>
  <c r="G205" i="69" s="1"/>
  <c r="H205" i="69" s="1"/>
  <c r="I205" i="69" s="1"/>
  <c r="J205" i="69" s="1"/>
  <c r="K205" i="69" s="1"/>
  <c r="M205" i="69" s="1"/>
  <c r="C206" i="69"/>
  <c r="P206" i="69" s="1"/>
  <c r="AL151" i="11" a="1"/>
  <c r="AL151" i="11" s="1"/>
  <c r="E152" i="32" s="1"/>
  <c r="AP161" i="59" a="1"/>
  <c r="AP161" i="59" s="1"/>
  <c r="E162" i="50" s="1"/>
  <c r="AQ51" i="59" a="1"/>
  <c r="AQ51" i="59" s="1"/>
  <c r="AM36" i="11" a="1"/>
  <c r="AM36" i="11" s="1"/>
  <c r="AA218" i="57" l="1"/>
  <c r="AF218" i="57"/>
  <c r="AD150" i="32"/>
  <c r="AG150" i="32" s="1"/>
  <c r="AH150" i="32" s="1"/>
  <c r="AD160" i="50"/>
  <c r="AG160" i="50" s="1"/>
  <c r="X219" i="57"/>
  <c r="AA219" i="57" s="1"/>
  <c r="AG221" i="57"/>
  <c r="M222" i="53"/>
  <c r="AC222" i="53" s="1"/>
  <c r="O222" i="53"/>
  <c r="AP206" i="69"/>
  <c r="N206" i="69"/>
  <c r="U206" i="69" s="1"/>
  <c r="AJ220" i="57"/>
  <c r="AE220" i="57"/>
  <c r="AD220" i="57"/>
  <c r="R220" i="57"/>
  <c r="Q220" i="57"/>
  <c r="T220" i="57" s="1"/>
  <c r="AQ220" i="57"/>
  <c r="AC220" i="57"/>
  <c r="M221" i="57"/>
  <c r="AK221" i="57" s="1"/>
  <c r="Q161" i="50"/>
  <c r="P161" i="50" s="1"/>
  <c r="Q151" i="32"/>
  <c r="P151" i="32" s="1"/>
  <c r="N222" i="53"/>
  <c r="T152" i="32"/>
  <c r="O152" i="32"/>
  <c r="T162" i="50"/>
  <c r="O162" i="50"/>
  <c r="AA220" i="53"/>
  <c r="AB220" i="53"/>
  <c r="AP158" i="50"/>
  <c r="AM151" i="32"/>
  <c r="AJ160" i="50"/>
  <c r="C160" i="50"/>
  <c r="S161" i="50"/>
  <c r="C150" i="32"/>
  <c r="AJ150" i="32"/>
  <c r="W150" i="32"/>
  <c r="X150" i="32" s="1"/>
  <c r="S151" i="32"/>
  <c r="AD151" i="32" s="1"/>
  <c r="W160" i="50"/>
  <c r="X159" i="50"/>
  <c r="V160" i="50"/>
  <c r="V150" i="32"/>
  <c r="AF205" i="69"/>
  <c r="Q205" i="69"/>
  <c r="O222" i="57"/>
  <c r="P222" i="57"/>
  <c r="AC203" i="69"/>
  <c r="AD203" i="69" s="1"/>
  <c r="AH159" i="50"/>
  <c r="AI159" i="50" s="1"/>
  <c r="AB204" i="69"/>
  <c r="AG204" i="69"/>
  <c r="AO206" i="69"/>
  <c r="O207" i="69"/>
  <c r="AK162" i="50"/>
  <c r="AE221" i="53"/>
  <c r="AF220" i="53"/>
  <c r="AK152" i="32"/>
  <c r="AM161" i="50"/>
  <c r="AL149" i="32"/>
  <c r="AI148" i="32"/>
  <c r="AN148" i="32" s="1"/>
  <c r="R221" i="53"/>
  <c r="X221" i="53" s="1"/>
  <c r="AL159" i="50"/>
  <c r="AY205" i="69"/>
  <c r="L222" i="57"/>
  <c r="AH221" i="53"/>
  <c r="AT221" i="53"/>
  <c r="AG221" i="53"/>
  <c r="N222" i="57"/>
  <c r="I222" i="53"/>
  <c r="AH205" i="69"/>
  <c r="AD221" i="53"/>
  <c r="Q221" i="53"/>
  <c r="AK221" i="52" a="1"/>
  <c r="AK221" i="52" s="1"/>
  <c r="B223" i="53" s="1"/>
  <c r="C222" i="53"/>
  <c r="G222" i="53"/>
  <c r="L222" i="53"/>
  <c r="F222" i="53"/>
  <c r="D222" i="53"/>
  <c r="P222" i="53"/>
  <c r="E222" i="53"/>
  <c r="H222" i="53"/>
  <c r="J222" i="53"/>
  <c r="K222" i="53"/>
  <c r="A152" i="32"/>
  <c r="B152" i="32"/>
  <c r="R152" i="32" s="1"/>
  <c r="G162" i="50"/>
  <c r="K162" i="50"/>
  <c r="I162" i="50"/>
  <c r="L162" i="50"/>
  <c r="A162" i="50"/>
  <c r="M162" i="50"/>
  <c r="J162" i="50"/>
  <c r="B162" i="50"/>
  <c r="R162" i="50" s="1"/>
  <c r="F162" i="50"/>
  <c r="U162" i="50" s="1"/>
  <c r="N162" i="50"/>
  <c r="H162" i="50"/>
  <c r="H152" i="32"/>
  <c r="K152" i="32"/>
  <c r="L152" i="32"/>
  <c r="G152" i="32"/>
  <c r="F152" i="32"/>
  <c r="U152" i="32" s="1"/>
  <c r="I152" i="32"/>
  <c r="N152" i="32"/>
  <c r="J152" i="32"/>
  <c r="M152" i="32"/>
  <c r="H222" i="57"/>
  <c r="D222" i="57"/>
  <c r="K222" i="57"/>
  <c r="J222" i="57"/>
  <c r="G222" i="57"/>
  <c r="C222" i="57"/>
  <c r="E222" i="57"/>
  <c r="F222" i="57"/>
  <c r="I222" i="57"/>
  <c r="AN221" i="55" a="1"/>
  <c r="AN221" i="55" s="1"/>
  <c r="B223" i="57" s="1"/>
  <c r="C207" i="69"/>
  <c r="P207" i="69" s="1"/>
  <c r="R205" i="69"/>
  <c r="S205" i="69" s="1"/>
  <c r="AE205" i="69"/>
  <c r="D206" i="69"/>
  <c r="E206" i="69" s="1"/>
  <c r="F206" i="69" s="1"/>
  <c r="G206" i="69" s="1"/>
  <c r="H206" i="69" s="1"/>
  <c r="I206" i="69" s="1"/>
  <c r="J206" i="69" s="1"/>
  <c r="K206" i="69" s="1"/>
  <c r="M206" i="69" s="1"/>
  <c r="AR207" i="67" a="1"/>
  <c r="AR207" i="67" s="1"/>
  <c r="B208" i="69"/>
  <c r="L208" i="69" s="1"/>
  <c r="AL152" i="11" a="1"/>
  <c r="AL152" i="11" s="1"/>
  <c r="E153" i="32" s="1"/>
  <c r="AP162" i="59" a="1"/>
  <c r="AP162" i="59" s="1"/>
  <c r="E163" i="50" s="1"/>
  <c r="AQ52" i="59" a="1"/>
  <c r="AQ52" i="59" s="1"/>
  <c r="AM37" i="11" a="1"/>
  <c r="AM37" i="11" s="1"/>
  <c r="Y205" i="69" l="1"/>
  <c r="AB205" i="69" s="1"/>
  <c r="AC205" i="69" s="1"/>
  <c r="AD205" i="69" s="1"/>
  <c r="AD161" i="50"/>
  <c r="AG161" i="50" s="1"/>
  <c r="AG222" i="57"/>
  <c r="X220" i="57"/>
  <c r="AF220" i="57" s="1"/>
  <c r="AF219" i="57"/>
  <c r="AB219" i="57"/>
  <c r="M223" i="53"/>
  <c r="AC223" i="53" s="1"/>
  <c r="O223" i="53"/>
  <c r="AP207" i="69"/>
  <c r="N207" i="69"/>
  <c r="U207" i="69" s="1"/>
  <c r="AJ221" i="57"/>
  <c r="AD221" i="57"/>
  <c r="R221" i="57"/>
  <c r="Q221" i="57"/>
  <c r="T221" i="57" s="1"/>
  <c r="AE221" i="57"/>
  <c r="AQ221" i="57"/>
  <c r="AC221" i="57"/>
  <c r="M222" i="57"/>
  <c r="AK222" i="57" s="1"/>
  <c r="Q162" i="50"/>
  <c r="P162" i="50" s="1"/>
  <c r="Q152" i="32"/>
  <c r="P152" i="32" s="1"/>
  <c r="N223" i="53"/>
  <c r="T153" i="32"/>
  <c r="O153" i="32"/>
  <c r="T163" i="50"/>
  <c r="O163" i="50"/>
  <c r="AA221" i="53"/>
  <c r="AB221" i="53"/>
  <c r="AP159" i="50"/>
  <c r="C161" i="50"/>
  <c r="Z161" i="50"/>
  <c r="C151" i="32"/>
  <c r="Z151" i="32"/>
  <c r="AM152" i="32"/>
  <c r="AJ161" i="50"/>
  <c r="S162" i="50"/>
  <c r="Z162" i="50" s="1"/>
  <c r="W151" i="32"/>
  <c r="X151" i="32" s="1"/>
  <c r="S152" i="32"/>
  <c r="Z152" i="32" s="1"/>
  <c r="AJ151" i="32"/>
  <c r="W161" i="50"/>
  <c r="X160" i="50"/>
  <c r="V161" i="50"/>
  <c r="V151" i="32"/>
  <c r="AF206" i="69"/>
  <c r="Q206" i="69"/>
  <c r="O223" i="57"/>
  <c r="P223" i="57"/>
  <c r="AC204" i="69"/>
  <c r="AD204" i="69" s="1"/>
  <c r="AH160" i="50"/>
  <c r="AI160" i="50" s="1"/>
  <c r="O208" i="69"/>
  <c r="AO207" i="69"/>
  <c r="AK163" i="50"/>
  <c r="AF221" i="53"/>
  <c r="AE222" i="53"/>
  <c r="AK153" i="32"/>
  <c r="AG151" i="32"/>
  <c r="AH151" i="32" s="1"/>
  <c r="AM162" i="50"/>
  <c r="AL150" i="32"/>
  <c r="AI149" i="32"/>
  <c r="AN149" i="32" s="1"/>
  <c r="R222" i="53"/>
  <c r="X222" i="53" s="1"/>
  <c r="AL160" i="50"/>
  <c r="AY206" i="69"/>
  <c r="L223" i="57"/>
  <c r="AH222" i="53"/>
  <c r="AT222" i="53"/>
  <c r="AG222" i="53"/>
  <c r="N223" i="57"/>
  <c r="H223" i="53"/>
  <c r="AH206" i="69"/>
  <c r="AD222" i="53"/>
  <c r="Q222" i="53"/>
  <c r="AK222" i="52" a="1"/>
  <c r="AK222" i="52" s="1"/>
  <c r="B224" i="53" s="1"/>
  <c r="J223" i="53"/>
  <c r="P223" i="53"/>
  <c r="G223" i="53"/>
  <c r="E223" i="53"/>
  <c r="L223" i="53"/>
  <c r="F223" i="53"/>
  <c r="K223" i="53"/>
  <c r="I223" i="53"/>
  <c r="C223" i="53"/>
  <c r="D223" i="53"/>
  <c r="A153" i="32"/>
  <c r="B153" i="32"/>
  <c r="R153" i="32" s="1"/>
  <c r="J163" i="50"/>
  <c r="M163" i="50"/>
  <c r="N163" i="50"/>
  <c r="I163" i="50"/>
  <c r="A163" i="50"/>
  <c r="L163" i="50"/>
  <c r="K163" i="50"/>
  <c r="G163" i="50"/>
  <c r="B163" i="50"/>
  <c r="R163" i="50" s="1"/>
  <c r="F163" i="50"/>
  <c r="U163" i="50" s="1"/>
  <c r="H163" i="50"/>
  <c r="F153" i="32"/>
  <c r="U153" i="32" s="1"/>
  <c r="N153" i="32"/>
  <c r="I153" i="32"/>
  <c r="J153" i="32"/>
  <c r="M153" i="32"/>
  <c r="G153" i="32"/>
  <c r="L153" i="32"/>
  <c r="H153" i="32"/>
  <c r="K153" i="32"/>
  <c r="G223" i="57"/>
  <c r="I223" i="57"/>
  <c r="E223" i="57"/>
  <c r="D223" i="57"/>
  <c r="J223" i="57"/>
  <c r="H223" i="57"/>
  <c r="C223" i="57"/>
  <c r="K223" i="57"/>
  <c r="F223" i="57"/>
  <c r="AN222" i="55" a="1"/>
  <c r="AN222" i="55" s="1"/>
  <c r="B224" i="57" s="1"/>
  <c r="AR208" i="67" a="1"/>
  <c r="AR208" i="67" s="1"/>
  <c r="B209" i="69"/>
  <c r="L209" i="69" s="1"/>
  <c r="D207" i="69"/>
  <c r="E207" i="69" s="1"/>
  <c r="F207" i="69" s="1"/>
  <c r="G207" i="69" s="1"/>
  <c r="H207" i="69" s="1"/>
  <c r="I207" i="69" s="1"/>
  <c r="J207" i="69" s="1"/>
  <c r="K207" i="69" s="1"/>
  <c r="M207" i="69" s="1"/>
  <c r="R206" i="69"/>
  <c r="S206" i="69" s="1"/>
  <c r="Y206" i="69" s="1"/>
  <c r="AE206" i="69"/>
  <c r="C208" i="69"/>
  <c r="P208" i="69" s="1"/>
  <c r="AL153" i="11" a="1"/>
  <c r="AL153" i="11" s="1"/>
  <c r="E154" i="32" s="1"/>
  <c r="AP163" i="59" a="1"/>
  <c r="AP163" i="59" s="1"/>
  <c r="E164" i="50" s="1"/>
  <c r="AQ53" i="59" a="1"/>
  <c r="AQ53" i="59" s="1"/>
  <c r="AM38" i="11" a="1"/>
  <c r="AM38" i="11" s="1"/>
  <c r="X221" i="57" l="1"/>
  <c r="AB221" i="57" s="1"/>
  <c r="AG205" i="69"/>
  <c r="AD152" i="32"/>
  <c r="AG152" i="32" s="1"/>
  <c r="AH152" i="32" s="1"/>
  <c r="AD162" i="50"/>
  <c r="AG162" i="50" s="1"/>
  <c r="AG223" i="57"/>
  <c r="AQ222" i="57"/>
  <c r="AC222" i="57"/>
  <c r="Q222" i="57"/>
  <c r="T222" i="57" s="1"/>
  <c r="AE222" i="57"/>
  <c r="AD222" i="57"/>
  <c r="AJ222" i="57"/>
  <c r="AB220" i="57"/>
  <c r="AA220" i="57"/>
  <c r="R222" i="57"/>
  <c r="M224" i="53"/>
  <c r="AC224" i="53" s="1"/>
  <c r="O224" i="53"/>
  <c r="AP208" i="69"/>
  <c r="N208" i="69"/>
  <c r="U208" i="69" s="1"/>
  <c r="M223" i="57"/>
  <c r="AK223" i="57" s="1"/>
  <c r="Q163" i="50"/>
  <c r="P163" i="50" s="1"/>
  <c r="Q153" i="32"/>
  <c r="P153" i="32" s="1"/>
  <c r="N224" i="53"/>
  <c r="T154" i="32"/>
  <c r="O154" i="32"/>
  <c r="T164" i="50"/>
  <c r="O164" i="50"/>
  <c r="AA222" i="53"/>
  <c r="AB222" i="53"/>
  <c r="AP160" i="50"/>
  <c r="AM153" i="32"/>
  <c r="C162" i="50"/>
  <c r="AJ162" i="50"/>
  <c r="S163" i="50"/>
  <c r="AD163" i="50" s="1"/>
  <c r="AJ152" i="32"/>
  <c r="W152" i="32"/>
  <c r="X152" i="32" s="1"/>
  <c r="C152" i="32"/>
  <c r="S153" i="32"/>
  <c r="AD153" i="32" s="1"/>
  <c r="W162" i="50"/>
  <c r="X161" i="50"/>
  <c r="V162" i="50"/>
  <c r="V152" i="32"/>
  <c r="AF207" i="69"/>
  <c r="Q207" i="69"/>
  <c r="O224" i="57"/>
  <c r="P224" i="57"/>
  <c r="AH161" i="50"/>
  <c r="AI161" i="50" s="1"/>
  <c r="AB206" i="69"/>
  <c r="AG206" i="69"/>
  <c r="O209" i="69"/>
  <c r="AO208" i="69"/>
  <c r="AK164" i="50"/>
  <c r="AE223" i="53"/>
  <c r="AF222" i="53"/>
  <c r="AK154" i="32"/>
  <c r="AM163" i="50"/>
  <c r="AL151" i="32"/>
  <c r="AI150" i="32"/>
  <c r="AN150" i="32" s="1"/>
  <c r="R223" i="53"/>
  <c r="X223" i="53" s="1"/>
  <c r="AL161" i="50"/>
  <c r="AY207" i="69"/>
  <c r="L224" i="57"/>
  <c r="AG223" i="53"/>
  <c r="AH223" i="53"/>
  <c r="AT223" i="53"/>
  <c r="N224" i="57"/>
  <c r="AH207" i="69"/>
  <c r="AD223" i="53"/>
  <c r="Q223" i="53"/>
  <c r="D224" i="53"/>
  <c r="C224" i="53"/>
  <c r="I224" i="53"/>
  <c r="J224" i="53"/>
  <c r="E224" i="53"/>
  <c r="F224" i="53"/>
  <c r="L224" i="53"/>
  <c r="AK223" i="52" a="1"/>
  <c r="AK223" i="52" s="1"/>
  <c r="B225" i="53" s="1"/>
  <c r="G224" i="53"/>
  <c r="K224" i="53"/>
  <c r="P224" i="53"/>
  <c r="H224" i="53"/>
  <c r="A154" i="32"/>
  <c r="B154" i="32"/>
  <c r="R154" i="32" s="1"/>
  <c r="F164" i="50"/>
  <c r="U164" i="50" s="1"/>
  <c r="K164" i="50"/>
  <c r="M164" i="50"/>
  <c r="J164" i="50"/>
  <c r="I164" i="50"/>
  <c r="N164" i="50"/>
  <c r="A164" i="50"/>
  <c r="G164" i="50"/>
  <c r="L164" i="50"/>
  <c r="B164" i="50"/>
  <c r="R164" i="50" s="1"/>
  <c r="H164" i="50"/>
  <c r="L154" i="32"/>
  <c r="G154" i="32"/>
  <c r="H154" i="32"/>
  <c r="K154" i="32"/>
  <c r="M154" i="32"/>
  <c r="J154" i="32"/>
  <c r="N154" i="32"/>
  <c r="F154" i="32"/>
  <c r="U154" i="32" s="1"/>
  <c r="I154" i="32"/>
  <c r="J224" i="57"/>
  <c r="F224" i="57"/>
  <c r="E224" i="57"/>
  <c r="D224" i="57"/>
  <c r="G224" i="57"/>
  <c r="C224" i="57"/>
  <c r="I224" i="57"/>
  <c r="H224" i="57"/>
  <c r="K224" i="57"/>
  <c r="AN223" i="55" a="1"/>
  <c r="AN223" i="55" s="1"/>
  <c r="B225" i="57" s="1"/>
  <c r="AR209" i="67" a="1"/>
  <c r="AR209" i="67" s="1"/>
  <c r="B210" i="69"/>
  <c r="L210" i="69" s="1"/>
  <c r="C209" i="69"/>
  <c r="P209" i="69" s="1"/>
  <c r="AE207" i="69"/>
  <c r="R207" i="69"/>
  <c r="S207" i="69" s="1"/>
  <c r="Y207" i="69" s="1"/>
  <c r="D208" i="69"/>
  <c r="E208" i="69" s="1"/>
  <c r="F208" i="69" s="1"/>
  <c r="G208" i="69" s="1"/>
  <c r="H208" i="69" s="1"/>
  <c r="I208" i="69" s="1"/>
  <c r="J208" i="69" s="1"/>
  <c r="K208" i="69" s="1"/>
  <c r="M208" i="69" s="1"/>
  <c r="AL154" i="11" a="1"/>
  <c r="AL154" i="11" s="1"/>
  <c r="E155" i="32" s="1"/>
  <c r="AP164" i="59" a="1"/>
  <c r="AP164" i="59" s="1"/>
  <c r="E165" i="50" s="1"/>
  <c r="AQ54" i="59" a="1"/>
  <c r="AQ54" i="59" s="1"/>
  <c r="AM39" i="11" a="1"/>
  <c r="AM39" i="11" s="1"/>
  <c r="AB207" i="69" l="1"/>
  <c r="AC207" i="69" s="1"/>
  <c r="AD207" i="69" s="1"/>
  <c r="X222" i="57"/>
  <c r="AA222" i="57" s="1"/>
  <c r="AG224" i="57"/>
  <c r="AE223" i="57"/>
  <c r="AJ223" i="57"/>
  <c r="AD223" i="57"/>
  <c r="R223" i="57"/>
  <c r="Q223" i="57"/>
  <c r="T223" i="57" s="1"/>
  <c r="AQ223" i="57"/>
  <c r="AC223" i="57"/>
  <c r="AF221" i="57"/>
  <c r="AA221" i="57"/>
  <c r="M225" i="53"/>
  <c r="AC225" i="53" s="1"/>
  <c r="O225" i="53"/>
  <c r="AP209" i="69"/>
  <c r="N209" i="69"/>
  <c r="U209" i="69" s="1"/>
  <c r="M224" i="57"/>
  <c r="AK224" i="57" s="1"/>
  <c r="Q164" i="50"/>
  <c r="P164" i="50" s="1"/>
  <c r="Q154" i="32"/>
  <c r="P154" i="32" s="1"/>
  <c r="N225" i="53"/>
  <c r="T155" i="32"/>
  <c r="O155" i="32"/>
  <c r="T165" i="50"/>
  <c r="O165" i="50"/>
  <c r="AA223" i="53"/>
  <c r="AB223" i="53"/>
  <c r="AP161" i="50"/>
  <c r="C163" i="50"/>
  <c r="Z163" i="50"/>
  <c r="C153" i="32"/>
  <c r="Z153" i="32"/>
  <c r="AM154" i="32"/>
  <c r="AJ163" i="50"/>
  <c r="S164" i="50"/>
  <c r="Z164" i="50" s="1"/>
  <c r="S154" i="32"/>
  <c r="Z154" i="32" s="1"/>
  <c r="W153" i="32"/>
  <c r="X153" i="32" s="1"/>
  <c r="AJ153" i="32"/>
  <c r="W163" i="50"/>
  <c r="X162" i="50"/>
  <c r="V163" i="50"/>
  <c r="V153" i="32"/>
  <c r="AF208" i="69"/>
  <c r="Q208" i="69"/>
  <c r="O225" i="57"/>
  <c r="P225" i="57"/>
  <c r="AC206" i="69"/>
  <c r="AD206" i="69" s="1"/>
  <c r="AH162" i="50"/>
  <c r="AI162" i="50" s="1"/>
  <c r="AO209" i="69"/>
  <c r="AG207" i="69"/>
  <c r="O210" i="69"/>
  <c r="AK165" i="50"/>
  <c r="AE224" i="53"/>
  <c r="AF223" i="53"/>
  <c r="AK155" i="32"/>
  <c r="AG153" i="32"/>
  <c r="AH153" i="32" s="1"/>
  <c r="AM164" i="50"/>
  <c r="AG163" i="50"/>
  <c r="AL152" i="32"/>
  <c r="AI151" i="32"/>
  <c r="AN151" i="32" s="1"/>
  <c r="R224" i="53"/>
  <c r="X224" i="53" s="1"/>
  <c r="AL162" i="50"/>
  <c r="AY208" i="69"/>
  <c r="L225" i="57"/>
  <c r="AG224" i="53"/>
  <c r="AH224" i="53"/>
  <c r="AT224" i="53"/>
  <c r="N225" i="57"/>
  <c r="AH208" i="69"/>
  <c r="AD224" i="53"/>
  <c r="Q224" i="53"/>
  <c r="G225" i="53"/>
  <c r="P225" i="53"/>
  <c r="K225" i="53"/>
  <c r="E225" i="53"/>
  <c r="F225" i="53"/>
  <c r="I225" i="53"/>
  <c r="C225" i="53"/>
  <c r="J225" i="53"/>
  <c r="AK224" i="52" a="1"/>
  <c r="AK224" i="52" s="1"/>
  <c r="B226" i="53" s="1"/>
  <c r="L225" i="53"/>
  <c r="D225" i="53"/>
  <c r="H225" i="53"/>
  <c r="A155" i="32"/>
  <c r="B155" i="32"/>
  <c r="R155" i="32" s="1"/>
  <c r="J165" i="50"/>
  <c r="B165" i="50"/>
  <c r="R165" i="50" s="1"/>
  <c r="I165" i="50"/>
  <c r="H165" i="50"/>
  <c r="F165" i="50"/>
  <c r="U165" i="50" s="1"/>
  <c r="N165" i="50"/>
  <c r="L165" i="50"/>
  <c r="M165" i="50"/>
  <c r="A165" i="50"/>
  <c r="G165" i="50"/>
  <c r="K165" i="50"/>
  <c r="J155" i="32"/>
  <c r="M155" i="32"/>
  <c r="F155" i="32"/>
  <c r="U155" i="32" s="1"/>
  <c r="N155" i="32"/>
  <c r="I155" i="32"/>
  <c r="H155" i="32"/>
  <c r="K155" i="32"/>
  <c r="G155" i="32"/>
  <c r="L155" i="32"/>
  <c r="H225" i="57"/>
  <c r="D225" i="57"/>
  <c r="I225" i="57"/>
  <c r="E225" i="57"/>
  <c r="K225" i="57"/>
  <c r="C225" i="57"/>
  <c r="G225" i="57"/>
  <c r="J225" i="57"/>
  <c r="F225" i="57"/>
  <c r="AN224" i="55" a="1"/>
  <c r="AN224" i="55" s="1"/>
  <c r="B226" i="57" s="1"/>
  <c r="AR210" i="67" a="1"/>
  <c r="AR210" i="67" s="1"/>
  <c r="B211" i="69"/>
  <c r="L211" i="69" s="1"/>
  <c r="D209" i="69"/>
  <c r="E209" i="69" s="1"/>
  <c r="F209" i="69" s="1"/>
  <c r="G209" i="69" s="1"/>
  <c r="H209" i="69" s="1"/>
  <c r="I209" i="69" s="1"/>
  <c r="J209" i="69" s="1"/>
  <c r="K209" i="69" s="1"/>
  <c r="M209" i="69" s="1"/>
  <c r="AE208" i="69"/>
  <c r="R208" i="69"/>
  <c r="S208" i="69" s="1"/>
  <c r="Y208" i="69" s="1"/>
  <c r="C210" i="69"/>
  <c r="P210" i="69" s="1"/>
  <c r="AL155" i="11" a="1"/>
  <c r="AL155" i="11" s="1"/>
  <c r="E156" i="32" s="1"/>
  <c r="AP165" i="59" a="1"/>
  <c r="AP165" i="59" s="1"/>
  <c r="E166" i="50" s="1"/>
  <c r="AQ55" i="59" a="1"/>
  <c r="AQ55" i="59" s="1"/>
  <c r="AM40" i="11" a="1"/>
  <c r="AM40" i="11" s="1"/>
  <c r="X223" i="57" l="1"/>
  <c r="AB223" i="57" s="1"/>
  <c r="AD154" i="32"/>
  <c r="AG154" i="32" s="1"/>
  <c r="AH154" i="32" s="1"/>
  <c r="AD164" i="50"/>
  <c r="AG164" i="50" s="1"/>
  <c r="AG225" i="57"/>
  <c r="AB222" i="57"/>
  <c r="AF222" i="57"/>
  <c r="AC224" i="57"/>
  <c r="M226" i="53"/>
  <c r="AC226" i="53" s="1"/>
  <c r="O226" i="53"/>
  <c r="AP210" i="69"/>
  <c r="N210" i="69"/>
  <c r="U210" i="69" s="1"/>
  <c r="AE224" i="57"/>
  <c r="AQ224" i="57"/>
  <c r="Q224" i="57"/>
  <c r="T224" i="57" s="1"/>
  <c r="AJ224" i="57"/>
  <c r="AD224" i="57"/>
  <c r="R224" i="57"/>
  <c r="M225" i="57"/>
  <c r="AK225" i="57" s="1"/>
  <c r="Q165" i="50"/>
  <c r="P165" i="50" s="1"/>
  <c r="Q155" i="32"/>
  <c r="P155" i="32" s="1"/>
  <c r="N226" i="53"/>
  <c r="T156" i="32"/>
  <c r="O156" i="32"/>
  <c r="T166" i="50"/>
  <c r="O166" i="50"/>
  <c r="AA224" i="53"/>
  <c r="AB224" i="53"/>
  <c r="AP162" i="50"/>
  <c r="AM155" i="32"/>
  <c r="AJ164" i="50"/>
  <c r="C164" i="50"/>
  <c r="S165" i="50"/>
  <c r="AJ154" i="32"/>
  <c r="W154" i="32"/>
  <c r="X154" i="32" s="1"/>
  <c r="C154" i="32"/>
  <c r="S155" i="32"/>
  <c r="Z155" i="32" s="1"/>
  <c r="W164" i="50"/>
  <c r="X163" i="50"/>
  <c r="V164" i="50"/>
  <c r="V154" i="32"/>
  <c r="AF209" i="69"/>
  <c r="Q209" i="69"/>
  <c r="O226" i="57"/>
  <c r="P226" i="57"/>
  <c r="AH163" i="50"/>
  <c r="AI163" i="50" s="1"/>
  <c r="AB208" i="69"/>
  <c r="AG208" i="69"/>
  <c r="O211" i="69"/>
  <c r="AO210" i="69"/>
  <c r="AK166" i="50"/>
  <c r="AE225" i="53"/>
  <c r="AF224" i="53"/>
  <c r="AK156" i="32"/>
  <c r="AM165" i="50"/>
  <c r="AL153" i="32"/>
  <c r="AI152" i="32"/>
  <c r="AN152" i="32" s="1"/>
  <c r="R225" i="53"/>
  <c r="X225" i="53" s="1"/>
  <c r="AL163" i="50"/>
  <c r="AY209" i="69"/>
  <c r="L226" i="57"/>
  <c r="AH225" i="53"/>
  <c r="AT225" i="53"/>
  <c r="AG225" i="53"/>
  <c r="N226" i="57"/>
  <c r="E226" i="53"/>
  <c r="AH209" i="69"/>
  <c r="Q225" i="53"/>
  <c r="AD225" i="53"/>
  <c r="AK225" i="52" a="1"/>
  <c r="AK225" i="52" s="1"/>
  <c r="B227" i="53" s="1"/>
  <c r="K226" i="53"/>
  <c r="G226" i="53"/>
  <c r="H226" i="53"/>
  <c r="L226" i="53"/>
  <c r="P226" i="53"/>
  <c r="I226" i="53"/>
  <c r="D226" i="53"/>
  <c r="J226" i="53"/>
  <c r="F226" i="53"/>
  <c r="C226" i="53"/>
  <c r="A156" i="32"/>
  <c r="B156" i="32"/>
  <c r="R156" i="32" s="1"/>
  <c r="H166" i="50"/>
  <c r="B166" i="50"/>
  <c r="R166" i="50" s="1"/>
  <c r="G166" i="50"/>
  <c r="I166" i="50"/>
  <c r="M166" i="50"/>
  <c r="A166" i="50"/>
  <c r="L166" i="50"/>
  <c r="J166" i="50"/>
  <c r="N166" i="50"/>
  <c r="F166" i="50"/>
  <c r="U166" i="50" s="1"/>
  <c r="K166" i="50"/>
  <c r="H156" i="32"/>
  <c r="K156" i="32"/>
  <c r="L156" i="32"/>
  <c r="G156" i="32"/>
  <c r="I156" i="32"/>
  <c r="N156" i="32"/>
  <c r="F156" i="32"/>
  <c r="U156" i="32" s="1"/>
  <c r="J156" i="32"/>
  <c r="M156" i="32"/>
  <c r="J226" i="57"/>
  <c r="G226" i="57"/>
  <c r="F226" i="57"/>
  <c r="C226" i="57"/>
  <c r="I226" i="57"/>
  <c r="E226" i="57"/>
  <c r="K226" i="57"/>
  <c r="H226" i="57"/>
  <c r="D226" i="57"/>
  <c r="AN225" i="55" a="1"/>
  <c r="AN225" i="55" s="1"/>
  <c r="B227" i="57" s="1"/>
  <c r="AR211" i="67" a="1"/>
  <c r="AR211" i="67" s="1"/>
  <c r="B212" i="69"/>
  <c r="L212" i="69" s="1"/>
  <c r="AE209" i="69"/>
  <c r="R209" i="69"/>
  <c r="S209" i="69" s="1"/>
  <c r="Y209" i="69" s="1"/>
  <c r="C211" i="69"/>
  <c r="P211" i="69" s="1"/>
  <c r="D210" i="69"/>
  <c r="E210" i="69" s="1"/>
  <c r="F210" i="69" s="1"/>
  <c r="G210" i="69" s="1"/>
  <c r="H210" i="69" s="1"/>
  <c r="I210" i="69" s="1"/>
  <c r="J210" i="69" s="1"/>
  <c r="K210" i="69" s="1"/>
  <c r="M210" i="69" s="1"/>
  <c r="AL156" i="11" a="1"/>
  <c r="AL156" i="11" s="1"/>
  <c r="E157" i="32" s="1"/>
  <c r="AP166" i="59" a="1"/>
  <c r="AP166" i="59" s="1"/>
  <c r="E167" i="50" s="1"/>
  <c r="AQ56" i="59" a="1"/>
  <c r="AQ56" i="59" s="1"/>
  <c r="AM41" i="11" a="1"/>
  <c r="AM41" i="11" s="1"/>
  <c r="AD155" i="32" l="1"/>
  <c r="AG155" i="32" s="1"/>
  <c r="AH155" i="32" s="1"/>
  <c r="AD165" i="50"/>
  <c r="AG165" i="50" s="1"/>
  <c r="AG226" i="57"/>
  <c r="X224" i="57"/>
  <c r="AB224" i="57" s="1"/>
  <c r="AF223" i="57"/>
  <c r="AA223" i="57"/>
  <c r="M227" i="53"/>
  <c r="AC227" i="53" s="1"/>
  <c r="O227" i="53"/>
  <c r="AP211" i="69"/>
  <c r="N211" i="69"/>
  <c r="U211" i="69" s="1"/>
  <c r="Q225" i="57"/>
  <c r="T225" i="57" s="1"/>
  <c r="AE225" i="57"/>
  <c r="AD225" i="57"/>
  <c r="R225" i="57"/>
  <c r="AJ225" i="57"/>
  <c r="AQ225" i="57"/>
  <c r="AC225" i="57"/>
  <c r="M226" i="57"/>
  <c r="AK226" i="57" s="1"/>
  <c r="Q166" i="50"/>
  <c r="P166" i="50" s="1"/>
  <c r="Q156" i="32"/>
  <c r="P156" i="32" s="1"/>
  <c r="N227" i="53"/>
  <c r="T157" i="32"/>
  <c r="O157" i="32"/>
  <c r="T167" i="50"/>
  <c r="O167" i="50"/>
  <c r="AA225" i="53"/>
  <c r="AB225" i="53"/>
  <c r="AP163" i="50"/>
  <c r="C165" i="50"/>
  <c r="Z165" i="50"/>
  <c r="AM156" i="32"/>
  <c r="AJ165" i="50"/>
  <c r="S166" i="50"/>
  <c r="Z166" i="50" s="1"/>
  <c r="C155" i="32"/>
  <c r="W155" i="32"/>
  <c r="X155" i="32" s="1"/>
  <c r="AJ155" i="32"/>
  <c r="S156" i="32"/>
  <c r="Z156" i="32" s="1"/>
  <c r="W165" i="50"/>
  <c r="X164" i="50"/>
  <c r="V165" i="50"/>
  <c r="V155" i="32"/>
  <c r="AF210" i="69"/>
  <c r="Q210" i="69"/>
  <c r="O227" i="57"/>
  <c r="P227" i="57"/>
  <c r="AC208" i="69"/>
  <c r="AD208" i="69" s="1"/>
  <c r="AH164" i="50"/>
  <c r="AI164" i="50" s="1"/>
  <c r="AB209" i="69"/>
  <c r="AG209" i="69"/>
  <c r="O212" i="69"/>
  <c r="AO211" i="69"/>
  <c r="AK167" i="50"/>
  <c r="AE226" i="53"/>
  <c r="AF225" i="53"/>
  <c r="AK157" i="32"/>
  <c r="AM166" i="50"/>
  <c r="AL154" i="32"/>
  <c r="AI153" i="32"/>
  <c r="AN153" i="32" s="1"/>
  <c r="R226" i="53"/>
  <c r="X226" i="53" s="1"/>
  <c r="AL164" i="50"/>
  <c r="AY210" i="69"/>
  <c r="L227" i="57"/>
  <c r="AG226" i="53"/>
  <c r="AH226" i="53"/>
  <c r="AT226" i="53"/>
  <c r="N227" i="57"/>
  <c r="AH210" i="69"/>
  <c r="AD226" i="53"/>
  <c r="Q226" i="53"/>
  <c r="AK226" i="52" a="1"/>
  <c r="AK226" i="52" s="1"/>
  <c r="B228" i="53" s="1"/>
  <c r="P227" i="53"/>
  <c r="E227" i="53"/>
  <c r="I227" i="53"/>
  <c r="G227" i="53"/>
  <c r="J227" i="53"/>
  <c r="D227" i="53"/>
  <c r="L227" i="53"/>
  <c r="K227" i="53"/>
  <c r="C227" i="53"/>
  <c r="H227" i="53"/>
  <c r="F227" i="53"/>
  <c r="A157" i="32"/>
  <c r="B157" i="32"/>
  <c r="R157" i="32" s="1"/>
  <c r="A167" i="50"/>
  <c r="I167" i="50"/>
  <c r="F167" i="50"/>
  <c r="U167" i="50" s="1"/>
  <c r="N167" i="50"/>
  <c r="J167" i="50"/>
  <c r="M167" i="50"/>
  <c r="K167" i="50"/>
  <c r="G167" i="50"/>
  <c r="H167" i="50"/>
  <c r="L167" i="50"/>
  <c r="B167" i="50"/>
  <c r="R167" i="50" s="1"/>
  <c r="F157" i="32"/>
  <c r="U157" i="32" s="1"/>
  <c r="N157" i="32"/>
  <c r="I157" i="32"/>
  <c r="J157" i="32"/>
  <c r="M157" i="32"/>
  <c r="G157" i="32"/>
  <c r="L157" i="32"/>
  <c r="K157" i="32"/>
  <c r="H157" i="32"/>
  <c r="D227" i="57"/>
  <c r="J227" i="57"/>
  <c r="I227" i="57"/>
  <c r="E227" i="57"/>
  <c r="H227" i="57"/>
  <c r="C227" i="57"/>
  <c r="K227" i="57"/>
  <c r="F227" i="57"/>
  <c r="G227" i="57"/>
  <c r="AN226" i="55" a="1"/>
  <c r="AN226" i="55" s="1"/>
  <c r="B228" i="57" s="1"/>
  <c r="AR212" i="67" a="1"/>
  <c r="AR212" i="67" s="1"/>
  <c r="B213" i="69"/>
  <c r="L213" i="69" s="1"/>
  <c r="D211" i="69"/>
  <c r="E211" i="69" s="1"/>
  <c r="F211" i="69" s="1"/>
  <c r="G211" i="69" s="1"/>
  <c r="H211" i="69" s="1"/>
  <c r="I211" i="69" s="1"/>
  <c r="J211" i="69" s="1"/>
  <c r="K211" i="69" s="1"/>
  <c r="M211" i="69" s="1"/>
  <c r="AE210" i="69"/>
  <c r="R210" i="69"/>
  <c r="S210" i="69" s="1"/>
  <c r="C212" i="69"/>
  <c r="P212" i="69" s="1"/>
  <c r="AL157" i="11" a="1"/>
  <c r="AL157" i="11" s="1"/>
  <c r="E158" i="32" s="1"/>
  <c r="AP167" i="59" a="1"/>
  <c r="AP167" i="59" s="1"/>
  <c r="E168" i="50" s="1"/>
  <c r="AQ57" i="59" a="1"/>
  <c r="AQ57" i="59" s="1"/>
  <c r="AM42" i="11" a="1"/>
  <c r="AM42" i="11" s="1"/>
  <c r="Y210" i="69" l="1"/>
  <c r="AB210" i="69" s="1"/>
  <c r="AC210" i="69" s="1"/>
  <c r="AD210" i="69" s="1"/>
  <c r="AD156" i="32"/>
  <c r="AG156" i="32" s="1"/>
  <c r="AH156" i="32" s="1"/>
  <c r="AD166" i="50"/>
  <c r="AG166" i="50" s="1"/>
  <c r="X225" i="57"/>
  <c r="AB225" i="57" s="1"/>
  <c r="AG227" i="57"/>
  <c r="AA224" i="57"/>
  <c r="AF224" i="57"/>
  <c r="M228" i="53"/>
  <c r="AC228" i="53" s="1"/>
  <c r="O228" i="53"/>
  <c r="AP212" i="69"/>
  <c r="N212" i="69"/>
  <c r="U212" i="69" s="1"/>
  <c r="Q226" i="57"/>
  <c r="T226" i="57" s="1"/>
  <c r="AE226" i="57"/>
  <c r="AJ226" i="57"/>
  <c r="R226" i="57"/>
  <c r="AD226" i="57"/>
  <c r="AQ226" i="57"/>
  <c r="AC226" i="57"/>
  <c r="M227" i="57"/>
  <c r="AK227" i="57" s="1"/>
  <c r="Q167" i="50"/>
  <c r="P167" i="50" s="1"/>
  <c r="Q157" i="32"/>
  <c r="P157" i="32" s="1"/>
  <c r="N228" i="53"/>
  <c r="T158" i="32"/>
  <c r="O158" i="32"/>
  <c r="T168" i="50"/>
  <c r="O168" i="50"/>
  <c r="AA226" i="53"/>
  <c r="AB226" i="53"/>
  <c r="AP164" i="50"/>
  <c r="AM157" i="32"/>
  <c r="AJ166" i="50"/>
  <c r="C166" i="50"/>
  <c r="S167" i="50"/>
  <c r="AJ156" i="32"/>
  <c r="W156" i="32"/>
  <c r="X156" i="32" s="1"/>
  <c r="C156" i="32"/>
  <c r="S157" i="32"/>
  <c r="AD157" i="32" s="1"/>
  <c r="W166" i="50"/>
  <c r="X165" i="50"/>
  <c r="V166" i="50"/>
  <c r="V156" i="32"/>
  <c r="AF211" i="69"/>
  <c r="Q211" i="69"/>
  <c r="O228" i="57"/>
  <c r="P228" i="57"/>
  <c r="AC209" i="69"/>
  <c r="AD209" i="69" s="1"/>
  <c r="AH165" i="50"/>
  <c r="AI165" i="50" s="1"/>
  <c r="O213" i="69"/>
  <c r="AO212" i="69"/>
  <c r="AK168" i="50"/>
  <c r="AF226" i="53"/>
  <c r="AE227" i="53"/>
  <c r="AK158" i="32"/>
  <c r="AM167" i="50"/>
  <c r="AL155" i="32"/>
  <c r="R227" i="53"/>
  <c r="X227" i="53" s="1"/>
  <c r="AL165" i="50"/>
  <c r="AI154" i="32"/>
  <c r="AN154" i="32" s="1"/>
  <c r="AY211" i="69"/>
  <c r="L228" i="57"/>
  <c r="AH227" i="53"/>
  <c r="AT227" i="53"/>
  <c r="AG227" i="53"/>
  <c r="N228" i="57"/>
  <c r="I228" i="53"/>
  <c r="AH211" i="69"/>
  <c r="Q227" i="53"/>
  <c r="AD227" i="53"/>
  <c r="F228" i="53"/>
  <c r="K228" i="53"/>
  <c r="P228" i="53"/>
  <c r="D228" i="53"/>
  <c r="G228" i="53"/>
  <c r="C228" i="53"/>
  <c r="AK227" i="52" a="1"/>
  <c r="AK227" i="52" s="1"/>
  <c r="B229" i="53" s="1"/>
  <c r="H228" i="53"/>
  <c r="J228" i="53"/>
  <c r="L228" i="53"/>
  <c r="E228" i="53"/>
  <c r="A158" i="32"/>
  <c r="B158" i="32"/>
  <c r="R158" i="32" s="1"/>
  <c r="K168" i="50"/>
  <c r="A168" i="50"/>
  <c r="G168" i="50"/>
  <c r="N168" i="50"/>
  <c r="F168" i="50"/>
  <c r="U168" i="50" s="1"/>
  <c r="I168" i="50"/>
  <c r="H168" i="50"/>
  <c r="J168" i="50"/>
  <c r="M168" i="50"/>
  <c r="B168" i="50"/>
  <c r="R168" i="50" s="1"/>
  <c r="L168" i="50"/>
  <c r="L158" i="32"/>
  <c r="G158" i="32"/>
  <c r="H158" i="32"/>
  <c r="K158" i="32"/>
  <c r="J158" i="32"/>
  <c r="M158" i="32"/>
  <c r="F158" i="32"/>
  <c r="U158" i="32" s="1"/>
  <c r="I158" i="32"/>
  <c r="N158" i="32"/>
  <c r="J228" i="57"/>
  <c r="I228" i="57"/>
  <c r="F228" i="57"/>
  <c r="E228" i="57"/>
  <c r="D228" i="57"/>
  <c r="C228" i="57"/>
  <c r="H228" i="57"/>
  <c r="K228" i="57"/>
  <c r="G228" i="57"/>
  <c r="AN227" i="55" a="1"/>
  <c r="AN227" i="55" s="1"/>
  <c r="B229" i="57" s="1"/>
  <c r="D212" i="69"/>
  <c r="E212" i="69" s="1"/>
  <c r="F212" i="69" s="1"/>
  <c r="G212" i="69" s="1"/>
  <c r="H212" i="69" s="1"/>
  <c r="I212" i="69" s="1"/>
  <c r="J212" i="69" s="1"/>
  <c r="K212" i="69" s="1"/>
  <c r="M212" i="69" s="1"/>
  <c r="R211" i="69"/>
  <c r="S211" i="69" s="1"/>
  <c r="Y211" i="69" s="1"/>
  <c r="AE211" i="69"/>
  <c r="C213" i="69"/>
  <c r="P213" i="69" s="1"/>
  <c r="AR213" i="67" a="1"/>
  <c r="AR213" i="67" s="1"/>
  <c r="B214" i="69"/>
  <c r="L214" i="69" s="1"/>
  <c r="AL158" i="11" a="1"/>
  <c r="AL158" i="11" s="1"/>
  <c r="E159" i="32" s="1"/>
  <c r="AP168" i="59" a="1"/>
  <c r="AP168" i="59" s="1"/>
  <c r="E169" i="50" s="1"/>
  <c r="AQ58" i="59" a="1"/>
  <c r="AQ58" i="59" s="1"/>
  <c r="AM43" i="11" a="1"/>
  <c r="AM43" i="11" s="1"/>
  <c r="AG210" i="69" l="1"/>
  <c r="AD167" i="50"/>
  <c r="AG167" i="50" s="1"/>
  <c r="X226" i="57"/>
  <c r="AB226" i="57" s="1"/>
  <c r="AG228" i="57"/>
  <c r="AF225" i="57"/>
  <c r="AA225" i="57"/>
  <c r="M229" i="53"/>
  <c r="AC229" i="53" s="1"/>
  <c r="O229" i="53"/>
  <c r="AP213" i="69"/>
  <c r="N213" i="69"/>
  <c r="U213" i="69" s="1"/>
  <c r="AE227" i="57"/>
  <c r="AJ227" i="57"/>
  <c r="AD227" i="57"/>
  <c r="R227" i="57"/>
  <c r="Q227" i="57"/>
  <c r="T227" i="57" s="1"/>
  <c r="AQ227" i="57"/>
  <c r="AC227" i="57"/>
  <c r="M228" i="57"/>
  <c r="AK228" i="57" s="1"/>
  <c r="Q168" i="50"/>
  <c r="P168" i="50" s="1"/>
  <c r="Q158" i="32"/>
  <c r="P158" i="32" s="1"/>
  <c r="N229" i="53"/>
  <c r="T159" i="32"/>
  <c r="O159" i="32"/>
  <c r="O169" i="50"/>
  <c r="T169" i="50"/>
  <c r="AA227" i="53"/>
  <c r="AB227" i="53"/>
  <c r="AP165" i="50"/>
  <c r="C167" i="50"/>
  <c r="Z167" i="50"/>
  <c r="C157" i="32"/>
  <c r="Z157" i="32"/>
  <c r="AM158" i="32"/>
  <c r="AJ167" i="50"/>
  <c r="S168" i="50"/>
  <c r="Z168" i="50" s="1"/>
  <c r="W157" i="32"/>
  <c r="X157" i="32" s="1"/>
  <c r="S158" i="32"/>
  <c r="Z158" i="32" s="1"/>
  <c r="AJ157" i="32"/>
  <c r="W167" i="50"/>
  <c r="X166" i="50"/>
  <c r="V167" i="50"/>
  <c r="V157" i="32"/>
  <c r="AF212" i="69"/>
  <c r="Q212" i="69"/>
  <c r="O229" i="57"/>
  <c r="P229" i="57"/>
  <c r="AH166" i="50"/>
  <c r="AI166" i="50" s="1"/>
  <c r="AB211" i="69"/>
  <c r="AG211" i="69"/>
  <c r="O214" i="69"/>
  <c r="AO213" i="69"/>
  <c r="AK169" i="50"/>
  <c r="AF227" i="53"/>
  <c r="AE228" i="53"/>
  <c r="AK159" i="32"/>
  <c r="AG157" i="32"/>
  <c r="AH157" i="32" s="1"/>
  <c r="AM168" i="50"/>
  <c r="AL156" i="32"/>
  <c r="AI155" i="32"/>
  <c r="AN155" i="32" s="1"/>
  <c r="R228" i="53"/>
  <c r="X228" i="53" s="1"/>
  <c r="AL166" i="50"/>
  <c r="AY212" i="69"/>
  <c r="L229" i="57"/>
  <c r="AG228" i="53"/>
  <c r="AH228" i="53"/>
  <c r="AT228" i="53"/>
  <c r="N229" i="57"/>
  <c r="H229" i="53"/>
  <c r="AH212" i="69"/>
  <c r="Q228" i="53"/>
  <c r="AD228" i="53"/>
  <c r="AK228" i="52" a="1"/>
  <c r="AK228" i="52" s="1"/>
  <c r="B230" i="53" s="1"/>
  <c r="D229" i="53"/>
  <c r="F229" i="53"/>
  <c r="P229" i="53"/>
  <c r="G229" i="53"/>
  <c r="J229" i="53"/>
  <c r="C229" i="53"/>
  <c r="K229" i="53"/>
  <c r="L229" i="53"/>
  <c r="I229" i="53"/>
  <c r="E229" i="53"/>
  <c r="A159" i="32"/>
  <c r="B159" i="32"/>
  <c r="R159" i="32" s="1"/>
  <c r="H169" i="50"/>
  <c r="B169" i="50"/>
  <c r="R169" i="50" s="1"/>
  <c r="F169" i="50"/>
  <c r="U169" i="50" s="1"/>
  <c r="N169" i="50"/>
  <c r="I169" i="50"/>
  <c r="L169" i="50"/>
  <c r="A169" i="50"/>
  <c r="J169" i="50"/>
  <c r="K169" i="50"/>
  <c r="M169" i="50"/>
  <c r="G169" i="50"/>
  <c r="J159" i="32"/>
  <c r="M159" i="32"/>
  <c r="F159" i="32"/>
  <c r="U159" i="32" s="1"/>
  <c r="N159" i="32"/>
  <c r="I159" i="32"/>
  <c r="K159" i="32"/>
  <c r="H159" i="32"/>
  <c r="G159" i="32"/>
  <c r="L159" i="32"/>
  <c r="F229" i="57"/>
  <c r="C229" i="57"/>
  <c r="H229" i="57"/>
  <c r="K229" i="57"/>
  <c r="E229" i="57"/>
  <c r="G229" i="57"/>
  <c r="D229" i="57"/>
  <c r="J229" i="57"/>
  <c r="I229" i="57"/>
  <c r="AN228" i="55" a="1"/>
  <c r="AN228" i="55" s="1"/>
  <c r="B230" i="57" s="1"/>
  <c r="AR214" i="67" a="1"/>
  <c r="AR214" i="67" s="1"/>
  <c r="B215" i="69"/>
  <c r="L215" i="69" s="1"/>
  <c r="R212" i="69"/>
  <c r="S212" i="69" s="1"/>
  <c r="AE212" i="69"/>
  <c r="C214" i="69"/>
  <c r="P214" i="69" s="1"/>
  <c r="D213" i="69"/>
  <c r="E213" i="69" s="1"/>
  <c r="F213" i="69" s="1"/>
  <c r="G213" i="69" s="1"/>
  <c r="H213" i="69" s="1"/>
  <c r="I213" i="69" s="1"/>
  <c r="J213" i="69" s="1"/>
  <c r="K213" i="69" s="1"/>
  <c r="M213" i="69" s="1"/>
  <c r="AL159" i="11" a="1"/>
  <c r="AL159" i="11" s="1"/>
  <c r="E160" i="32" s="1"/>
  <c r="AP169" i="59" a="1"/>
  <c r="AP169" i="59" s="1"/>
  <c r="E170" i="50" s="1"/>
  <c r="AQ59" i="59" a="1"/>
  <c r="AQ59" i="59" s="1"/>
  <c r="AM44" i="11" a="1"/>
  <c r="AM44" i="11" s="1"/>
  <c r="Y212" i="69" l="1"/>
  <c r="AB212" i="69" s="1"/>
  <c r="AC212" i="69" s="1"/>
  <c r="AD212" i="69" s="1"/>
  <c r="AD158" i="32"/>
  <c r="AG158" i="32" s="1"/>
  <c r="AH158" i="32" s="1"/>
  <c r="AD168" i="50"/>
  <c r="AG168" i="50" s="1"/>
  <c r="X227" i="57"/>
  <c r="AA227" i="57" s="1"/>
  <c r="AG229" i="57"/>
  <c r="AA226" i="57"/>
  <c r="AE228" i="57"/>
  <c r="AF226" i="57"/>
  <c r="M230" i="53"/>
  <c r="AC230" i="53" s="1"/>
  <c r="O230" i="53"/>
  <c r="AP214" i="69"/>
  <c r="N214" i="69"/>
  <c r="U214" i="69" s="1"/>
  <c r="Q228" i="57"/>
  <c r="T228" i="57" s="1"/>
  <c r="AQ228" i="57"/>
  <c r="AD228" i="57"/>
  <c r="AJ228" i="57"/>
  <c r="R228" i="57"/>
  <c r="AC228" i="57"/>
  <c r="M229" i="57"/>
  <c r="AK229" i="57" s="1"/>
  <c r="Q169" i="50"/>
  <c r="P169" i="50" s="1"/>
  <c r="Q159" i="32"/>
  <c r="P159" i="32" s="1"/>
  <c r="N230" i="53"/>
  <c r="T160" i="32"/>
  <c r="O160" i="32"/>
  <c r="T170" i="50"/>
  <c r="O170" i="50"/>
  <c r="AA228" i="53"/>
  <c r="AB228" i="53"/>
  <c r="AP166" i="50"/>
  <c r="AM159" i="32"/>
  <c r="AJ168" i="50"/>
  <c r="C168" i="50"/>
  <c r="S169" i="50"/>
  <c r="Z169" i="50" s="1"/>
  <c r="AJ158" i="32"/>
  <c r="W158" i="32"/>
  <c r="X158" i="32" s="1"/>
  <c r="C158" i="32"/>
  <c r="S159" i="32"/>
  <c r="Z159" i="32" s="1"/>
  <c r="W168" i="50"/>
  <c r="X167" i="50"/>
  <c r="V168" i="50"/>
  <c r="V158" i="32"/>
  <c r="AF213" i="69"/>
  <c r="Q213" i="69"/>
  <c r="O230" i="57"/>
  <c r="P230" i="57"/>
  <c r="AC211" i="69"/>
  <c r="AD211" i="69" s="1"/>
  <c r="AH167" i="50"/>
  <c r="AI167" i="50" s="1"/>
  <c r="AO214" i="69"/>
  <c r="O215" i="69"/>
  <c r="AK170" i="50"/>
  <c r="AE229" i="53"/>
  <c r="AF228" i="53"/>
  <c r="AK160" i="32"/>
  <c r="AM169" i="50"/>
  <c r="AL157" i="32"/>
  <c r="AI156" i="32"/>
  <c r="AN156" i="32" s="1"/>
  <c r="R229" i="53"/>
  <c r="X229" i="53" s="1"/>
  <c r="AL167" i="50"/>
  <c r="AY213" i="69"/>
  <c r="L230" i="57"/>
  <c r="AH229" i="53"/>
  <c r="AT229" i="53"/>
  <c r="AG229" i="53"/>
  <c r="N230" i="57"/>
  <c r="AH213" i="69"/>
  <c r="AD229" i="53"/>
  <c r="Q229" i="53"/>
  <c r="C230" i="53"/>
  <c r="K230" i="53"/>
  <c r="L230" i="53"/>
  <c r="AK229" i="52" a="1"/>
  <c r="AK229" i="52" s="1"/>
  <c r="B231" i="53" s="1"/>
  <c r="G230" i="53"/>
  <c r="J230" i="53"/>
  <c r="E230" i="53"/>
  <c r="I230" i="53"/>
  <c r="F230" i="53"/>
  <c r="D230" i="53"/>
  <c r="H230" i="53"/>
  <c r="P230" i="53"/>
  <c r="A160" i="32"/>
  <c r="B160" i="32"/>
  <c r="R160" i="32" s="1"/>
  <c r="G170" i="50"/>
  <c r="B170" i="50"/>
  <c r="R170" i="50" s="1"/>
  <c r="A170" i="50"/>
  <c r="H170" i="50"/>
  <c r="J170" i="50"/>
  <c r="L170" i="50"/>
  <c r="I170" i="50"/>
  <c r="M170" i="50"/>
  <c r="N170" i="50"/>
  <c r="K170" i="50"/>
  <c r="F170" i="50"/>
  <c r="U170" i="50" s="1"/>
  <c r="H160" i="32"/>
  <c r="K160" i="32"/>
  <c r="L160" i="32"/>
  <c r="G160" i="32"/>
  <c r="F160" i="32"/>
  <c r="U160" i="32" s="1"/>
  <c r="I160" i="32"/>
  <c r="N160" i="32"/>
  <c r="M160" i="32"/>
  <c r="J160" i="32"/>
  <c r="J230" i="57"/>
  <c r="E230" i="57"/>
  <c r="F230" i="57"/>
  <c r="K230" i="57"/>
  <c r="G230" i="57"/>
  <c r="C230" i="57"/>
  <c r="H230" i="57"/>
  <c r="I230" i="57"/>
  <c r="D230" i="57"/>
  <c r="AN229" i="55" a="1"/>
  <c r="AN229" i="55" s="1"/>
  <c r="B231" i="57" s="1"/>
  <c r="AR215" i="67" a="1"/>
  <c r="AR215" i="67" s="1"/>
  <c r="B216" i="69"/>
  <c r="L216" i="69" s="1"/>
  <c r="AE213" i="69"/>
  <c r="R213" i="69"/>
  <c r="S213" i="69" s="1"/>
  <c r="Y213" i="69" s="1"/>
  <c r="D214" i="69"/>
  <c r="E214" i="69" s="1"/>
  <c r="F214" i="69" s="1"/>
  <c r="G214" i="69" s="1"/>
  <c r="H214" i="69" s="1"/>
  <c r="I214" i="69" s="1"/>
  <c r="J214" i="69" s="1"/>
  <c r="K214" i="69" s="1"/>
  <c r="M214" i="69" s="1"/>
  <c r="C215" i="69"/>
  <c r="P215" i="69" s="1"/>
  <c r="AL160" i="11" a="1"/>
  <c r="AL160" i="11" s="1"/>
  <c r="AP170" i="59" a="1"/>
  <c r="AP170" i="59" s="1"/>
  <c r="E171" i="50" s="1"/>
  <c r="AQ60" i="59" a="1"/>
  <c r="AQ60" i="59" s="1"/>
  <c r="AM45" i="11" a="1"/>
  <c r="AM45" i="11" s="1"/>
  <c r="AG212" i="69" l="1"/>
  <c r="AB213" i="69"/>
  <c r="AC213" i="69" s="1"/>
  <c r="AD213" i="69" s="1"/>
  <c r="AD159" i="32"/>
  <c r="AG159" i="32" s="1"/>
  <c r="AH159" i="32" s="1"/>
  <c r="AD169" i="50"/>
  <c r="AG169" i="50" s="1"/>
  <c r="AG230" i="57"/>
  <c r="X228" i="57"/>
  <c r="AB228" i="57" s="1"/>
  <c r="M231" i="53"/>
  <c r="AC231" i="53" s="1"/>
  <c r="O231" i="53"/>
  <c r="AP215" i="69"/>
  <c r="N215" i="69"/>
  <c r="U215" i="69" s="1"/>
  <c r="AF227" i="57"/>
  <c r="AB227" i="57"/>
  <c r="AD229" i="57"/>
  <c r="R229" i="57"/>
  <c r="Q229" i="57"/>
  <c r="T229" i="57" s="1"/>
  <c r="AQ229" i="57"/>
  <c r="AC229" i="57"/>
  <c r="AJ229" i="57"/>
  <c r="AE229" i="57"/>
  <c r="M230" i="57"/>
  <c r="AK230" i="57" s="1"/>
  <c r="Q170" i="50"/>
  <c r="P170" i="50" s="1"/>
  <c r="Q160" i="32"/>
  <c r="P160" i="32" s="1"/>
  <c r="N231" i="53"/>
  <c r="T171" i="50"/>
  <c r="O171" i="50"/>
  <c r="AA229" i="53"/>
  <c r="AB229" i="53"/>
  <c r="AP167" i="50"/>
  <c r="AM160" i="32"/>
  <c r="C169" i="50"/>
  <c r="AJ169" i="50"/>
  <c r="S170" i="50"/>
  <c r="Z170" i="50" s="1"/>
  <c r="C159" i="32"/>
  <c r="AJ159" i="32"/>
  <c r="W159" i="32"/>
  <c r="X159" i="32" s="1"/>
  <c r="S160" i="32"/>
  <c r="Z160" i="32" s="1"/>
  <c r="W169" i="50"/>
  <c r="X168" i="50"/>
  <c r="V169" i="50"/>
  <c r="V159" i="32"/>
  <c r="AF214" i="69"/>
  <c r="Q214" i="69"/>
  <c r="O231" i="57"/>
  <c r="P231" i="57"/>
  <c r="AH168" i="50"/>
  <c r="AI168" i="50" s="1"/>
  <c r="AG213" i="69"/>
  <c r="O216" i="69"/>
  <c r="AO215" i="69"/>
  <c r="AK171" i="50"/>
  <c r="AF229" i="53"/>
  <c r="AE230" i="53"/>
  <c r="AM170" i="50"/>
  <c r="AL158" i="32"/>
  <c r="R230" i="53"/>
  <c r="X230" i="53" s="1"/>
  <c r="AL168" i="50"/>
  <c r="AI157" i="32"/>
  <c r="AN157" i="32" s="1"/>
  <c r="AY214" i="69"/>
  <c r="L231" i="57"/>
  <c r="AH230" i="53"/>
  <c r="AT230" i="53"/>
  <c r="AG230" i="53"/>
  <c r="N231" i="57"/>
  <c r="E231" i="53"/>
  <c r="AH214" i="69"/>
  <c r="AD230" i="53"/>
  <c r="Q230" i="53"/>
  <c r="D231" i="53"/>
  <c r="H231" i="53"/>
  <c r="C231" i="53"/>
  <c r="F231" i="53"/>
  <c r="AK230" i="52" a="1"/>
  <c r="AK230" i="52" s="1"/>
  <c r="B232" i="53" s="1"/>
  <c r="L231" i="53"/>
  <c r="G231" i="53"/>
  <c r="I231" i="53"/>
  <c r="K231" i="53"/>
  <c r="J231" i="53"/>
  <c r="P231" i="53"/>
  <c r="I171" i="50"/>
  <c r="H171" i="50"/>
  <c r="F171" i="50"/>
  <c r="U171" i="50" s="1"/>
  <c r="L171" i="50"/>
  <c r="N171" i="50"/>
  <c r="M171" i="50"/>
  <c r="B171" i="50"/>
  <c r="R171" i="50" s="1"/>
  <c r="G171" i="50"/>
  <c r="J171" i="50"/>
  <c r="K171" i="50"/>
  <c r="A171" i="50"/>
  <c r="J231" i="57"/>
  <c r="G231" i="57"/>
  <c r="D231" i="57"/>
  <c r="K231" i="57"/>
  <c r="F231" i="57"/>
  <c r="H231" i="57"/>
  <c r="C231" i="57"/>
  <c r="E231" i="57"/>
  <c r="I231" i="57"/>
  <c r="E161" i="32"/>
  <c r="AN230" i="55" a="1"/>
  <c r="AN230" i="55" s="1"/>
  <c r="B232" i="57" s="1"/>
  <c r="AR216" i="67" a="1"/>
  <c r="AR216" i="67" s="1"/>
  <c r="B217" i="69"/>
  <c r="L217" i="69" s="1"/>
  <c r="C216" i="69"/>
  <c r="P216" i="69" s="1"/>
  <c r="D215" i="69"/>
  <c r="E215" i="69" s="1"/>
  <c r="F215" i="69" s="1"/>
  <c r="G215" i="69" s="1"/>
  <c r="H215" i="69" s="1"/>
  <c r="I215" i="69" s="1"/>
  <c r="J215" i="69" s="1"/>
  <c r="K215" i="69" s="1"/>
  <c r="M215" i="69" s="1"/>
  <c r="AE214" i="69"/>
  <c r="R214" i="69"/>
  <c r="S214" i="69" s="1"/>
  <c r="Y214" i="69" s="1"/>
  <c r="AL161" i="11" a="1"/>
  <c r="AL161" i="11" s="1"/>
  <c r="E162" i="32" s="1"/>
  <c r="AP171" i="59" a="1"/>
  <c r="AP171" i="59" s="1"/>
  <c r="E172" i="50" s="1"/>
  <c r="AQ61" i="59" a="1"/>
  <c r="AQ61" i="59" s="1"/>
  <c r="AM46" i="11" a="1"/>
  <c r="AM46" i="11" s="1"/>
  <c r="X229" i="57" l="1"/>
  <c r="AA229" i="57" s="1"/>
  <c r="AB214" i="69"/>
  <c r="AC214" i="69" s="1"/>
  <c r="AD214" i="69" s="1"/>
  <c r="AD160" i="32"/>
  <c r="AG160" i="32" s="1"/>
  <c r="AH160" i="32" s="1"/>
  <c r="AD170" i="50"/>
  <c r="AG170" i="50" s="1"/>
  <c r="AG231" i="57"/>
  <c r="M232" i="53"/>
  <c r="AC232" i="53" s="1"/>
  <c r="O232" i="53"/>
  <c r="AP216" i="69"/>
  <c r="N216" i="69"/>
  <c r="U216" i="69" s="1"/>
  <c r="AA228" i="57"/>
  <c r="AF228" i="57"/>
  <c r="AE230" i="57"/>
  <c r="AQ230" i="57"/>
  <c r="AD230" i="57"/>
  <c r="AJ230" i="57"/>
  <c r="R230" i="57"/>
  <c r="AC230" i="57"/>
  <c r="Q230" i="57"/>
  <c r="T230" i="57" s="1"/>
  <c r="M231" i="57"/>
  <c r="AK231" i="57" s="1"/>
  <c r="Q171" i="50"/>
  <c r="P171" i="50" s="1"/>
  <c r="N232" i="53"/>
  <c r="T162" i="32"/>
  <c r="O162" i="32"/>
  <c r="T161" i="32"/>
  <c r="O161" i="32"/>
  <c r="T172" i="50"/>
  <c r="O172" i="50"/>
  <c r="AA230" i="53"/>
  <c r="AB230" i="53"/>
  <c r="AP168" i="50"/>
  <c r="C170" i="50"/>
  <c r="AJ170" i="50"/>
  <c r="S171" i="50"/>
  <c r="Z171" i="50" s="1"/>
  <c r="AJ160" i="32"/>
  <c r="W160" i="32"/>
  <c r="X160" i="32" s="1"/>
  <c r="C160" i="32"/>
  <c r="W170" i="50"/>
  <c r="X169" i="50"/>
  <c r="V170" i="50"/>
  <c r="V160" i="32"/>
  <c r="AF215" i="69"/>
  <c r="Q215" i="69"/>
  <c r="O232" i="57"/>
  <c r="P232" i="57"/>
  <c r="AH169" i="50"/>
  <c r="AI169" i="50" s="1"/>
  <c r="AG214" i="69"/>
  <c r="AO216" i="69"/>
  <c r="O217" i="69"/>
  <c r="AK172" i="50"/>
  <c r="AF230" i="53"/>
  <c r="AE231" i="53"/>
  <c r="AK161" i="32"/>
  <c r="AK162" i="32"/>
  <c r="AM171" i="50"/>
  <c r="AL159" i="32"/>
  <c r="AI158" i="32"/>
  <c r="AN158" i="32" s="1"/>
  <c r="R231" i="53"/>
  <c r="X231" i="53" s="1"/>
  <c r="AL169" i="50"/>
  <c r="AY215" i="69"/>
  <c r="L232" i="57"/>
  <c r="AH231" i="53"/>
  <c r="AT231" i="53"/>
  <c r="AG231" i="53"/>
  <c r="N232" i="57"/>
  <c r="H232" i="53"/>
  <c r="AH215" i="69"/>
  <c r="AD231" i="53"/>
  <c r="Q231" i="53"/>
  <c r="F232" i="53"/>
  <c r="P232" i="53"/>
  <c r="L232" i="53"/>
  <c r="I232" i="53"/>
  <c r="D232" i="53"/>
  <c r="K232" i="53"/>
  <c r="E232" i="53"/>
  <c r="AK231" i="52" a="1"/>
  <c r="AK231" i="52" s="1"/>
  <c r="B233" i="53" s="1"/>
  <c r="J232" i="53"/>
  <c r="G232" i="53"/>
  <c r="C232" i="53"/>
  <c r="A162" i="32"/>
  <c r="B162" i="32"/>
  <c r="R162" i="32" s="1"/>
  <c r="A161" i="32"/>
  <c r="B161" i="32"/>
  <c r="R161" i="32" s="1"/>
  <c r="L172" i="50"/>
  <c r="N172" i="50"/>
  <c r="F172" i="50"/>
  <c r="U172" i="50" s="1"/>
  <c r="G172" i="50"/>
  <c r="I172" i="50"/>
  <c r="H172" i="50"/>
  <c r="K172" i="50"/>
  <c r="J172" i="50"/>
  <c r="M172" i="50"/>
  <c r="A172" i="50"/>
  <c r="B172" i="50"/>
  <c r="R172" i="50" s="1"/>
  <c r="F161" i="32"/>
  <c r="U161" i="32" s="1"/>
  <c r="N161" i="32"/>
  <c r="I161" i="32"/>
  <c r="J161" i="32"/>
  <c r="M161" i="32"/>
  <c r="G161" i="32"/>
  <c r="L161" i="32"/>
  <c r="H161" i="32"/>
  <c r="K161" i="32"/>
  <c r="L162" i="32"/>
  <c r="G162" i="32"/>
  <c r="H162" i="32"/>
  <c r="K162" i="32"/>
  <c r="M162" i="32"/>
  <c r="J162" i="32"/>
  <c r="F162" i="32"/>
  <c r="U162" i="32" s="1"/>
  <c r="I162" i="32"/>
  <c r="N162" i="32"/>
  <c r="I232" i="57"/>
  <c r="F232" i="57"/>
  <c r="D232" i="57"/>
  <c r="C232" i="57"/>
  <c r="J232" i="57"/>
  <c r="K232" i="57"/>
  <c r="E232" i="57"/>
  <c r="G232" i="57"/>
  <c r="H232" i="57"/>
  <c r="AN231" i="55" a="1"/>
  <c r="AN231" i="55" s="1"/>
  <c r="B233" i="57" s="1"/>
  <c r="AR217" i="67" a="1"/>
  <c r="AR217" i="67" s="1"/>
  <c r="B218" i="69"/>
  <c r="L218" i="69" s="1"/>
  <c r="D216" i="69"/>
  <c r="E216" i="69" s="1"/>
  <c r="F216" i="69" s="1"/>
  <c r="G216" i="69" s="1"/>
  <c r="H216" i="69" s="1"/>
  <c r="I216" i="69" s="1"/>
  <c r="J216" i="69" s="1"/>
  <c r="K216" i="69" s="1"/>
  <c r="M216" i="69" s="1"/>
  <c r="AE215" i="69"/>
  <c r="R215" i="69"/>
  <c r="S215" i="69" s="1"/>
  <c r="Y215" i="69" s="1"/>
  <c r="C217" i="69"/>
  <c r="P217" i="69" s="1"/>
  <c r="AL162" i="11" a="1"/>
  <c r="AL162" i="11" s="1"/>
  <c r="E163" i="32" s="1"/>
  <c r="AP172" i="59" a="1"/>
  <c r="AP172" i="59" s="1"/>
  <c r="E173" i="50" s="1"/>
  <c r="AQ62" i="59" a="1"/>
  <c r="AQ62" i="59" s="1"/>
  <c r="AM47" i="11" a="1"/>
  <c r="AM47" i="11" s="1"/>
  <c r="X230" i="57" l="1"/>
  <c r="AA230" i="57" s="1"/>
  <c r="AB215" i="69"/>
  <c r="AC215" i="69" s="1"/>
  <c r="AD215" i="69" s="1"/>
  <c r="AD171" i="50"/>
  <c r="AG171" i="50" s="1"/>
  <c r="AG232" i="57"/>
  <c r="AB229" i="57"/>
  <c r="AF229" i="57"/>
  <c r="M233" i="53"/>
  <c r="AC233" i="53" s="1"/>
  <c r="O233" i="53"/>
  <c r="AP217" i="69"/>
  <c r="N217" i="69"/>
  <c r="U217" i="69" s="1"/>
  <c r="R231" i="57"/>
  <c r="AQ231" i="57"/>
  <c r="AC231" i="57"/>
  <c r="Q231" i="57"/>
  <c r="T231" i="57" s="1"/>
  <c r="AD231" i="57"/>
  <c r="AJ231" i="57"/>
  <c r="AE231" i="57"/>
  <c r="M232" i="57"/>
  <c r="AK232" i="57" s="1"/>
  <c r="Q172" i="50"/>
  <c r="P172" i="50" s="1"/>
  <c r="Q161" i="32"/>
  <c r="P161" i="32" s="1"/>
  <c r="Q162" i="32"/>
  <c r="P162" i="32" s="1"/>
  <c r="N233" i="53"/>
  <c r="T163" i="32"/>
  <c r="O163" i="32"/>
  <c r="T173" i="50"/>
  <c r="O173" i="50"/>
  <c r="AA231" i="53"/>
  <c r="AB231" i="53"/>
  <c r="AP169" i="50"/>
  <c r="AM161" i="32"/>
  <c r="AM162" i="32"/>
  <c r="AJ171" i="50"/>
  <c r="C171" i="50"/>
  <c r="S172" i="50"/>
  <c r="Z172" i="50" s="1"/>
  <c r="S161" i="32"/>
  <c r="Z161" i="32" s="1"/>
  <c r="S162" i="32"/>
  <c r="Z162" i="32" s="1"/>
  <c r="W171" i="50"/>
  <c r="X170" i="50"/>
  <c r="V171" i="50"/>
  <c r="AF216" i="69"/>
  <c r="Q216" i="69"/>
  <c r="O233" i="57"/>
  <c r="P233" i="57"/>
  <c r="AH170" i="50"/>
  <c r="AI170" i="50" s="1"/>
  <c r="O218" i="69"/>
  <c r="AO217" i="69"/>
  <c r="AG215" i="69"/>
  <c r="AK173" i="50"/>
  <c r="AE232" i="53"/>
  <c r="AF231" i="53"/>
  <c r="AK163" i="32"/>
  <c r="AM172" i="50"/>
  <c r="AL160" i="32"/>
  <c r="AI159" i="32"/>
  <c r="AN159" i="32" s="1"/>
  <c r="R232" i="53"/>
  <c r="X232" i="53" s="1"/>
  <c r="AL170" i="50"/>
  <c r="AY216" i="69"/>
  <c r="L233" i="57"/>
  <c r="AH232" i="53"/>
  <c r="AT232" i="53"/>
  <c r="AG232" i="53"/>
  <c r="N233" i="57"/>
  <c r="AH216" i="69"/>
  <c r="Q232" i="53"/>
  <c r="AD232" i="53"/>
  <c r="AK232" i="52" a="1"/>
  <c r="AK232" i="52" s="1"/>
  <c r="B234" i="53" s="1"/>
  <c r="E233" i="53"/>
  <c r="J233" i="53"/>
  <c r="H233" i="53"/>
  <c r="L233" i="53"/>
  <c r="F233" i="53"/>
  <c r="D233" i="53"/>
  <c r="K233" i="53"/>
  <c r="C233" i="53"/>
  <c r="I233" i="53"/>
  <c r="G233" i="53"/>
  <c r="P233" i="53"/>
  <c r="A163" i="32"/>
  <c r="B163" i="32"/>
  <c r="R163" i="32" s="1"/>
  <c r="F173" i="50"/>
  <c r="U173" i="50" s="1"/>
  <c r="M173" i="50"/>
  <c r="J173" i="50"/>
  <c r="K173" i="50"/>
  <c r="B173" i="50"/>
  <c r="R173" i="50" s="1"/>
  <c r="L173" i="50"/>
  <c r="H173" i="50"/>
  <c r="A173" i="50"/>
  <c r="G173" i="50"/>
  <c r="I173" i="50"/>
  <c r="N173" i="50"/>
  <c r="J163" i="32"/>
  <c r="M163" i="32"/>
  <c r="F163" i="32"/>
  <c r="U163" i="32" s="1"/>
  <c r="N163" i="32"/>
  <c r="I163" i="32"/>
  <c r="H163" i="32"/>
  <c r="K163" i="32"/>
  <c r="G163" i="32"/>
  <c r="L163" i="32"/>
  <c r="K233" i="57"/>
  <c r="J233" i="57"/>
  <c r="H233" i="57"/>
  <c r="F233" i="57"/>
  <c r="D233" i="57"/>
  <c r="C233" i="57"/>
  <c r="I233" i="57"/>
  <c r="E233" i="57"/>
  <c r="G233" i="57"/>
  <c r="AN232" i="55" a="1"/>
  <c r="AN232" i="55" s="1"/>
  <c r="B234" i="57" s="1"/>
  <c r="R216" i="69"/>
  <c r="S216" i="69" s="1"/>
  <c r="Y216" i="69" s="1"/>
  <c r="AE216" i="69"/>
  <c r="C218" i="69"/>
  <c r="P218" i="69" s="1"/>
  <c r="D217" i="69"/>
  <c r="E217" i="69" s="1"/>
  <c r="F217" i="69" s="1"/>
  <c r="G217" i="69" s="1"/>
  <c r="H217" i="69" s="1"/>
  <c r="I217" i="69" s="1"/>
  <c r="J217" i="69" s="1"/>
  <c r="K217" i="69" s="1"/>
  <c r="M217" i="69" s="1"/>
  <c r="AR218" i="67" a="1"/>
  <c r="AR218" i="67" s="1"/>
  <c r="B219" i="69"/>
  <c r="L219" i="69" s="1"/>
  <c r="AL163" i="11" a="1"/>
  <c r="AL163" i="11" s="1"/>
  <c r="E164" i="32" s="1"/>
  <c r="AP173" i="59" a="1"/>
  <c r="AP173" i="59" s="1"/>
  <c r="E174" i="50" s="1"/>
  <c r="AQ63" i="59" a="1"/>
  <c r="AQ63" i="59" s="1"/>
  <c r="AM48" i="11" a="1"/>
  <c r="AM48" i="11" s="1"/>
  <c r="AD161" i="32" l="1"/>
  <c r="AG161" i="32" s="1"/>
  <c r="AH161" i="32" s="1"/>
  <c r="AD162" i="32"/>
  <c r="AG162" i="32" s="1"/>
  <c r="AH162" i="32" s="1"/>
  <c r="AD172" i="50"/>
  <c r="AG172" i="50" s="1"/>
  <c r="X231" i="57"/>
  <c r="AB231" i="57" s="1"/>
  <c r="AG233" i="57"/>
  <c r="M234" i="53"/>
  <c r="AC234" i="53" s="1"/>
  <c r="O234" i="53"/>
  <c r="AP218" i="69"/>
  <c r="N218" i="69"/>
  <c r="U218" i="69" s="1"/>
  <c r="AF230" i="57"/>
  <c r="AB230" i="57"/>
  <c r="AC232" i="57"/>
  <c r="AQ232" i="57"/>
  <c r="AD232" i="57"/>
  <c r="AJ232" i="57"/>
  <c r="R232" i="57"/>
  <c r="AE232" i="57"/>
  <c r="Q232" i="57"/>
  <c r="T232" i="57" s="1"/>
  <c r="M233" i="57"/>
  <c r="AK233" i="57" s="1"/>
  <c r="Q173" i="50"/>
  <c r="P173" i="50" s="1"/>
  <c r="Q163" i="32"/>
  <c r="P163" i="32" s="1"/>
  <c r="N234" i="53"/>
  <c r="T164" i="32"/>
  <c r="O164" i="32"/>
  <c r="T174" i="50"/>
  <c r="O174" i="50"/>
  <c r="AA232" i="53"/>
  <c r="AB232" i="53"/>
  <c r="AP170" i="50"/>
  <c r="AM163" i="32"/>
  <c r="AJ172" i="50"/>
  <c r="C172" i="50"/>
  <c r="S173" i="50"/>
  <c r="Z173" i="50" s="1"/>
  <c r="C162" i="32"/>
  <c r="AJ162" i="32"/>
  <c r="W162" i="32"/>
  <c r="X162" i="32" s="1"/>
  <c r="W161" i="32"/>
  <c r="X161" i="32" s="1"/>
  <c r="C161" i="32"/>
  <c r="AJ161" i="32"/>
  <c r="S163" i="32"/>
  <c r="Z163" i="32" s="1"/>
  <c r="W172" i="50"/>
  <c r="X171" i="50"/>
  <c r="V172" i="50"/>
  <c r="V161" i="32"/>
  <c r="V162" i="32"/>
  <c r="AF217" i="69"/>
  <c r="Q217" i="69"/>
  <c r="O234" i="57"/>
  <c r="P234" i="57"/>
  <c r="AH171" i="50"/>
  <c r="AI171" i="50" s="1"/>
  <c r="AB216" i="69"/>
  <c r="AG216" i="69"/>
  <c r="O219" i="69"/>
  <c r="AO218" i="69"/>
  <c r="AK174" i="50"/>
  <c r="AE233" i="53"/>
  <c r="AF232" i="53"/>
  <c r="AK164" i="32"/>
  <c r="AM173" i="50"/>
  <c r="AI160" i="32"/>
  <c r="AN160" i="32" s="1"/>
  <c r="R233" i="53"/>
  <c r="X233" i="53" s="1"/>
  <c r="AL171" i="50"/>
  <c r="AY217" i="69"/>
  <c r="L234" i="57"/>
  <c r="AG233" i="53"/>
  <c r="Q233" i="53"/>
  <c r="AH233" i="53"/>
  <c r="AT233" i="53"/>
  <c r="AD233" i="53"/>
  <c r="N234" i="57"/>
  <c r="J234" i="53"/>
  <c r="AH217" i="69"/>
  <c r="I234" i="53"/>
  <c r="H234" i="53"/>
  <c r="P234" i="53"/>
  <c r="E234" i="53"/>
  <c r="F234" i="53"/>
  <c r="AK233" i="52" a="1"/>
  <c r="AK233" i="52" s="1"/>
  <c r="B235" i="53" s="1"/>
  <c r="K234" i="53"/>
  <c r="D234" i="53"/>
  <c r="L234" i="53"/>
  <c r="G234" i="53"/>
  <c r="C234" i="53"/>
  <c r="A164" i="32"/>
  <c r="B164" i="32"/>
  <c r="R164" i="32" s="1"/>
  <c r="M174" i="50"/>
  <c r="A174" i="50"/>
  <c r="K174" i="50"/>
  <c r="G174" i="50"/>
  <c r="N174" i="50"/>
  <c r="I174" i="50"/>
  <c r="L174" i="50"/>
  <c r="H174" i="50"/>
  <c r="B174" i="50"/>
  <c r="R174" i="50" s="1"/>
  <c r="J174" i="50"/>
  <c r="F174" i="50"/>
  <c r="U174" i="50" s="1"/>
  <c r="H164" i="32"/>
  <c r="K164" i="32"/>
  <c r="L164" i="32"/>
  <c r="G164" i="32"/>
  <c r="I164" i="32"/>
  <c r="N164" i="32"/>
  <c r="F164" i="32"/>
  <c r="U164" i="32" s="1"/>
  <c r="J164" i="32"/>
  <c r="M164" i="32"/>
  <c r="E234" i="57"/>
  <c r="J234" i="57"/>
  <c r="H234" i="57"/>
  <c r="G234" i="57"/>
  <c r="C234" i="57"/>
  <c r="F234" i="57"/>
  <c r="D234" i="57"/>
  <c r="K234" i="57"/>
  <c r="I234" i="57"/>
  <c r="AN233" i="55" a="1"/>
  <c r="AN233" i="55" s="1"/>
  <c r="B235" i="57" s="1"/>
  <c r="R217" i="69"/>
  <c r="S217" i="69" s="1"/>
  <c r="Y217" i="69" s="1"/>
  <c r="AE217" i="69"/>
  <c r="D218" i="69"/>
  <c r="E218" i="69" s="1"/>
  <c r="F218" i="69" s="1"/>
  <c r="G218" i="69" s="1"/>
  <c r="H218" i="69" s="1"/>
  <c r="I218" i="69" s="1"/>
  <c r="J218" i="69" s="1"/>
  <c r="K218" i="69" s="1"/>
  <c r="M218" i="69" s="1"/>
  <c r="AR219" i="67" a="1"/>
  <c r="AR219" i="67" s="1"/>
  <c r="B220" i="69"/>
  <c r="L220" i="69" s="1"/>
  <c r="C219" i="69"/>
  <c r="P219" i="69" s="1"/>
  <c r="AL164" i="11" a="1"/>
  <c r="AL164" i="11" s="1"/>
  <c r="E165" i="32" s="1"/>
  <c r="AP174" i="59" a="1"/>
  <c r="AP174" i="59" s="1"/>
  <c r="E175" i="50" s="1"/>
  <c r="AQ64" i="59" a="1"/>
  <c r="AQ64" i="59" s="1"/>
  <c r="AM49" i="11" a="1"/>
  <c r="AM49" i="11" s="1"/>
  <c r="AC233" i="57" l="1"/>
  <c r="AD163" i="32"/>
  <c r="AG163" i="32" s="1"/>
  <c r="AH163" i="32" s="1"/>
  <c r="AD173" i="50"/>
  <c r="AG173" i="50" s="1"/>
  <c r="AG234" i="57"/>
  <c r="X232" i="57"/>
  <c r="AB232" i="57" s="1"/>
  <c r="Q233" i="57"/>
  <c r="T233" i="57" s="1"/>
  <c r="AD233" i="57"/>
  <c r="R233" i="57"/>
  <c r="AA231" i="57"/>
  <c r="AF231" i="57"/>
  <c r="M235" i="53"/>
  <c r="AC235" i="53" s="1"/>
  <c r="O235" i="53"/>
  <c r="AP219" i="69"/>
  <c r="N219" i="69"/>
  <c r="U219" i="69" s="1"/>
  <c r="AQ233" i="57"/>
  <c r="AE233" i="57"/>
  <c r="AJ233" i="57"/>
  <c r="M234" i="57"/>
  <c r="AK234" i="57" s="1"/>
  <c r="Q174" i="50"/>
  <c r="P174" i="50" s="1"/>
  <c r="Q164" i="32"/>
  <c r="P164" i="32" s="1"/>
  <c r="N235" i="53"/>
  <c r="T165" i="32"/>
  <c r="O165" i="32"/>
  <c r="T175" i="50"/>
  <c r="O175" i="50"/>
  <c r="AA233" i="53"/>
  <c r="AB233" i="53"/>
  <c r="AP171" i="50"/>
  <c r="AM164" i="32"/>
  <c r="AJ173" i="50"/>
  <c r="C173" i="50"/>
  <c r="S174" i="50"/>
  <c r="Z174" i="50" s="1"/>
  <c r="C163" i="32"/>
  <c r="AJ163" i="32"/>
  <c r="W163" i="32"/>
  <c r="X163" i="32" s="1"/>
  <c r="S164" i="32"/>
  <c r="AD164" i="32" s="1"/>
  <c r="W173" i="50"/>
  <c r="X172" i="50"/>
  <c r="V173" i="50"/>
  <c r="V163" i="32"/>
  <c r="AF218" i="69"/>
  <c r="Q218" i="69"/>
  <c r="O235" i="57"/>
  <c r="P235" i="57"/>
  <c r="AC216" i="69"/>
  <c r="AD216" i="69" s="1"/>
  <c r="AH172" i="50"/>
  <c r="AI172" i="50" s="1"/>
  <c r="AB217" i="69"/>
  <c r="AG217" i="69"/>
  <c r="AO219" i="69"/>
  <c r="O220" i="69"/>
  <c r="AK175" i="50"/>
  <c r="AE234" i="53"/>
  <c r="AF233" i="53"/>
  <c r="AK165" i="32"/>
  <c r="AM174" i="50"/>
  <c r="AL161" i="32"/>
  <c r="AL162" i="32"/>
  <c r="R234" i="53"/>
  <c r="X234" i="53" s="1"/>
  <c r="AL172" i="50"/>
  <c r="AY218" i="69"/>
  <c r="L235" i="57"/>
  <c r="AH234" i="53"/>
  <c r="AT234" i="53"/>
  <c r="AG234" i="53"/>
  <c r="N235" i="57"/>
  <c r="AH218" i="69"/>
  <c r="AD234" i="53"/>
  <c r="Q234" i="53"/>
  <c r="L235" i="53"/>
  <c r="C235" i="53"/>
  <c r="D235" i="53"/>
  <c r="I235" i="53"/>
  <c r="AK234" i="52" a="1"/>
  <c r="AK234" i="52" s="1"/>
  <c r="B236" i="53" s="1"/>
  <c r="H235" i="53"/>
  <c r="G235" i="53"/>
  <c r="K235" i="53"/>
  <c r="F235" i="53"/>
  <c r="P235" i="53"/>
  <c r="J235" i="53"/>
  <c r="E235" i="53"/>
  <c r="A165" i="32"/>
  <c r="B165" i="32"/>
  <c r="R165" i="32" s="1"/>
  <c r="F175" i="50"/>
  <c r="U175" i="50" s="1"/>
  <c r="L175" i="50"/>
  <c r="A175" i="50"/>
  <c r="K175" i="50"/>
  <c r="H175" i="50"/>
  <c r="M175" i="50"/>
  <c r="I175" i="50"/>
  <c r="J175" i="50"/>
  <c r="B175" i="50"/>
  <c r="R175" i="50" s="1"/>
  <c r="G175" i="50"/>
  <c r="N175" i="50"/>
  <c r="F165" i="32"/>
  <c r="U165" i="32" s="1"/>
  <c r="K165" i="32"/>
  <c r="N165" i="32"/>
  <c r="G165" i="32"/>
  <c r="J165" i="32"/>
  <c r="H165" i="32"/>
  <c r="I165" i="32"/>
  <c r="L165" i="32"/>
  <c r="M165" i="32"/>
  <c r="J235" i="57"/>
  <c r="D235" i="57"/>
  <c r="K235" i="57"/>
  <c r="F235" i="57"/>
  <c r="I235" i="57"/>
  <c r="E235" i="57"/>
  <c r="C235" i="57"/>
  <c r="G235" i="57"/>
  <c r="H235" i="57"/>
  <c r="AN234" i="55" a="1"/>
  <c r="AN234" i="55" s="1"/>
  <c r="B236" i="57" s="1"/>
  <c r="AR220" i="67" a="1"/>
  <c r="AR220" i="67" s="1"/>
  <c r="B221" i="69"/>
  <c r="L221" i="69" s="1"/>
  <c r="AE218" i="69"/>
  <c r="R218" i="69"/>
  <c r="S218" i="69" s="1"/>
  <c r="Y218" i="69" s="1"/>
  <c r="C220" i="69"/>
  <c r="P220" i="69" s="1"/>
  <c r="D219" i="69"/>
  <c r="E219" i="69" s="1"/>
  <c r="F219" i="69" s="1"/>
  <c r="G219" i="69" s="1"/>
  <c r="H219" i="69" s="1"/>
  <c r="I219" i="69" s="1"/>
  <c r="J219" i="69" s="1"/>
  <c r="K219" i="69" s="1"/>
  <c r="M219" i="69" s="1"/>
  <c r="AL165" i="11" a="1"/>
  <c r="AL165" i="11" s="1"/>
  <c r="E166" i="32" s="1"/>
  <c r="AP175" i="59" a="1"/>
  <c r="AP175" i="59" s="1"/>
  <c r="E176" i="50" s="1"/>
  <c r="AQ65" i="59" a="1"/>
  <c r="AQ65" i="59" s="1"/>
  <c r="AM50" i="11" a="1"/>
  <c r="AM50" i="11" s="1"/>
  <c r="AE234" i="57" l="1"/>
  <c r="AD174" i="50"/>
  <c r="AG174" i="50" s="1"/>
  <c r="AG235" i="57"/>
  <c r="X233" i="57"/>
  <c r="AB233" i="57" s="1"/>
  <c r="Q234" i="57"/>
  <c r="T234" i="57" s="1"/>
  <c r="AF232" i="57"/>
  <c r="M236" i="53"/>
  <c r="AC236" i="53" s="1"/>
  <c r="O236" i="53"/>
  <c r="AP220" i="69"/>
  <c r="N220" i="69"/>
  <c r="U220" i="69" s="1"/>
  <c r="AA232" i="57"/>
  <c r="AJ234" i="57"/>
  <c r="AD234" i="57"/>
  <c r="R234" i="57"/>
  <c r="AQ234" i="57"/>
  <c r="AC234" i="57"/>
  <c r="M235" i="57"/>
  <c r="AK235" i="57" s="1"/>
  <c r="Q175" i="50"/>
  <c r="P175" i="50" s="1"/>
  <c r="Q165" i="32"/>
  <c r="P165" i="32" s="1"/>
  <c r="N236" i="53"/>
  <c r="T166" i="32"/>
  <c r="O166" i="32"/>
  <c r="T176" i="50"/>
  <c r="O176" i="50"/>
  <c r="AA234" i="53"/>
  <c r="AB234" i="53"/>
  <c r="AP172" i="50"/>
  <c r="C164" i="32"/>
  <c r="Z164" i="32"/>
  <c r="AM165" i="32"/>
  <c r="C174" i="50"/>
  <c r="AJ174" i="50"/>
  <c r="S175" i="50"/>
  <c r="Z175" i="50" s="1"/>
  <c r="W164" i="32"/>
  <c r="X164" i="32" s="1"/>
  <c r="S165" i="32"/>
  <c r="Z165" i="32" s="1"/>
  <c r="AJ164" i="32"/>
  <c r="W174" i="50"/>
  <c r="X173" i="50"/>
  <c r="V174" i="50"/>
  <c r="V164" i="32"/>
  <c r="AF219" i="69"/>
  <c r="Q219" i="69"/>
  <c r="O236" i="57"/>
  <c r="P236" i="57"/>
  <c r="AC217" i="69"/>
  <c r="AD217" i="69" s="1"/>
  <c r="AH173" i="50"/>
  <c r="AI173" i="50" s="1"/>
  <c r="AB218" i="69"/>
  <c r="AG218" i="69"/>
  <c r="AO220" i="69"/>
  <c r="O221" i="69"/>
  <c r="AK176" i="50"/>
  <c r="AE235" i="53"/>
  <c r="AF234" i="53"/>
  <c r="AK166" i="32"/>
  <c r="AG164" i="32"/>
  <c r="AH164" i="32" s="1"/>
  <c r="AM175" i="50"/>
  <c r="AL163" i="32"/>
  <c r="AI161" i="32"/>
  <c r="AN161" i="32" s="1"/>
  <c r="AI162" i="32"/>
  <c r="AN162" i="32" s="1"/>
  <c r="R235" i="53"/>
  <c r="X235" i="53" s="1"/>
  <c r="AL173" i="50"/>
  <c r="AY219" i="69"/>
  <c r="L236" i="57"/>
  <c r="AG235" i="53"/>
  <c r="AH235" i="53"/>
  <c r="AT235" i="53"/>
  <c r="Q235" i="53"/>
  <c r="AD235" i="53"/>
  <c r="N236" i="57"/>
  <c r="I236" i="53"/>
  <c r="AH219" i="69"/>
  <c r="C236" i="53"/>
  <c r="H236" i="53"/>
  <c r="E236" i="53"/>
  <c r="D236" i="53"/>
  <c r="K236" i="53"/>
  <c r="P236" i="53"/>
  <c r="AK235" i="52" a="1"/>
  <c r="AK235" i="52" s="1"/>
  <c r="B237" i="53" s="1"/>
  <c r="F236" i="53"/>
  <c r="G236" i="53"/>
  <c r="J236" i="53"/>
  <c r="L236" i="53"/>
  <c r="A166" i="32"/>
  <c r="B166" i="32"/>
  <c r="R166" i="32" s="1"/>
  <c r="G176" i="50"/>
  <c r="A176" i="50"/>
  <c r="I176" i="50"/>
  <c r="H176" i="50"/>
  <c r="N176" i="50"/>
  <c r="F176" i="50"/>
  <c r="U176" i="50" s="1"/>
  <c r="J176" i="50"/>
  <c r="K176" i="50"/>
  <c r="M176" i="50"/>
  <c r="B176" i="50"/>
  <c r="R176" i="50" s="1"/>
  <c r="L176" i="50"/>
  <c r="I166" i="32"/>
  <c r="L166" i="32"/>
  <c r="M166" i="32"/>
  <c r="H166" i="32"/>
  <c r="J166" i="32"/>
  <c r="K166" i="32"/>
  <c r="N166" i="32"/>
  <c r="F166" i="32"/>
  <c r="U166" i="32" s="1"/>
  <c r="G166" i="32"/>
  <c r="J236" i="57"/>
  <c r="I236" i="57"/>
  <c r="F236" i="57"/>
  <c r="E236" i="57"/>
  <c r="D236" i="57"/>
  <c r="H236" i="57"/>
  <c r="G236" i="57"/>
  <c r="C236" i="57"/>
  <c r="K236" i="57"/>
  <c r="AN235" i="55" a="1"/>
  <c r="AN235" i="55" s="1"/>
  <c r="B237" i="57" s="1"/>
  <c r="AR221" i="67" a="1"/>
  <c r="AR221" i="67" s="1"/>
  <c r="B222" i="69"/>
  <c r="L222" i="69" s="1"/>
  <c r="C221" i="69"/>
  <c r="P221" i="69" s="1"/>
  <c r="R219" i="69"/>
  <c r="S219" i="69" s="1"/>
  <c r="Y219" i="69" s="1"/>
  <c r="AE219" i="69"/>
  <c r="D220" i="69"/>
  <c r="E220" i="69" s="1"/>
  <c r="F220" i="69" s="1"/>
  <c r="G220" i="69" s="1"/>
  <c r="H220" i="69" s="1"/>
  <c r="I220" i="69" s="1"/>
  <c r="J220" i="69" s="1"/>
  <c r="K220" i="69" s="1"/>
  <c r="M220" i="69" s="1"/>
  <c r="AL166" i="11" a="1"/>
  <c r="AL166" i="11" s="1"/>
  <c r="E167" i="32" s="1"/>
  <c r="AP176" i="59" a="1"/>
  <c r="AP176" i="59" s="1"/>
  <c r="E177" i="50" s="1"/>
  <c r="AQ66" i="59" a="1"/>
  <c r="AQ66" i="59" s="1"/>
  <c r="AM51" i="11" a="1"/>
  <c r="AM51" i="11" s="1"/>
  <c r="AD165" i="32" l="1"/>
  <c r="AG165" i="32" s="1"/>
  <c r="AH165" i="32" s="1"/>
  <c r="AD175" i="50"/>
  <c r="AG175" i="50" s="1"/>
  <c r="AG236" i="57"/>
  <c r="X234" i="57"/>
  <c r="AA234" i="57" s="1"/>
  <c r="AA233" i="57"/>
  <c r="AF233" i="57"/>
  <c r="AD235" i="57"/>
  <c r="AQ235" i="57"/>
  <c r="AC235" i="57"/>
  <c r="AJ235" i="57"/>
  <c r="Q235" i="57"/>
  <c r="T235" i="57" s="1"/>
  <c r="R235" i="57"/>
  <c r="M237" i="53"/>
  <c r="AC237" i="53" s="1"/>
  <c r="O237" i="53"/>
  <c r="AP221" i="69"/>
  <c r="N221" i="69"/>
  <c r="U221" i="69" s="1"/>
  <c r="AE235" i="57"/>
  <c r="M236" i="57"/>
  <c r="AK236" i="57" s="1"/>
  <c r="Q176" i="50"/>
  <c r="P176" i="50" s="1"/>
  <c r="Q166" i="32"/>
  <c r="P166" i="32" s="1"/>
  <c r="N237" i="53"/>
  <c r="T167" i="32"/>
  <c r="O167" i="32"/>
  <c r="O177" i="50"/>
  <c r="T177" i="50"/>
  <c r="AA235" i="53"/>
  <c r="AB235" i="53"/>
  <c r="AP173" i="50"/>
  <c r="AM166" i="32"/>
  <c r="AJ175" i="50"/>
  <c r="C175" i="50"/>
  <c r="S176" i="50"/>
  <c r="Z176" i="50" s="1"/>
  <c r="C165" i="32"/>
  <c r="W165" i="32"/>
  <c r="X165" i="32" s="1"/>
  <c r="AJ165" i="32"/>
  <c r="S166" i="32"/>
  <c r="Z166" i="32" s="1"/>
  <c r="W175" i="50"/>
  <c r="X174" i="50"/>
  <c r="V175" i="50"/>
  <c r="V165" i="32"/>
  <c r="AF220" i="69"/>
  <c r="Q220" i="69"/>
  <c r="O237" i="57"/>
  <c r="P237" i="57"/>
  <c r="AC218" i="69"/>
  <c r="AD218" i="69" s="1"/>
  <c r="AH174" i="50"/>
  <c r="AI174" i="50" s="1"/>
  <c r="AB219" i="69"/>
  <c r="AG219" i="69"/>
  <c r="AO221" i="69"/>
  <c r="O222" i="69"/>
  <c r="AK177" i="50"/>
  <c r="AE236" i="53"/>
  <c r="AF235" i="53"/>
  <c r="AK167" i="32"/>
  <c r="AM176" i="50"/>
  <c r="AL164" i="32"/>
  <c r="AI163" i="32"/>
  <c r="AN163" i="32" s="1"/>
  <c r="R236" i="53"/>
  <c r="X236" i="53" s="1"/>
  <c r="AL174" i="50"/>
  <c r="AY220" i="69"/>
  <c r="L237" i="57"/>
  <c r="AH236" i="53"/>
  <c r="AT236" i="53"/>
  <c r="AG236" i="53"/>
  <c r="N237" i="57"/>
  <c r="AH220" i="69"/>
  <c r="Q236" i="53"/>
  <c r="AD236" i="53"/>
  <c r="J237" i="53"/>
  <c r="C237" i="53"/>
  <c r="K237" i="53"/>
  <c r="I237" i="53"/>
  <c r="F237" i="53"/>
  <c r="H237" i="53"/>
  <c r="AK236" i="52" a="1"/>
  <c r="AK236" i="52" s="1"/>
  <c r="B238" i="53" s="1"/>
  <c r="P237" i="53"/>
  <c r="D237" i="53"/>
  <c r="E237" i="53"/>
  <c r="L237" i="53"/>
  <c r="G237" i="53"/>
  <c r="A167" i="32"/>
  <c r="B167" i="32"/>
  <c r="R167" i="32" s="1"/>
  <c r="J177" i="50"/>
  <c r="L177" i="50"/>
  <c r="B177" i="50"/>
  <c r="R177" i="50" s="1"/>
  <c r="M177" i="50"/>
  <c r="N177" i="50"/>
  <c r="F177" i="50"/>
  <c r="U177" i="50" s="1"/>
  <c r="A177" i="50"/>
  <c r="I177" i="50"/>
  <c r="K177" i="50"/>
  <c r="H177" i="50"/>
  <c r="G177" i="50"/>
  <c r="G167" i="32"/>
  <c r="J167" i="32"/>
  <c r="K167" i="32"/>
  <c r="F167" i="32"/>
  <c r="U167" i="32" s="1"/>
  <c r="N167" i="32"/>
  <c r="H167" i="32"/>
  <c r="I167" i="32"/>
  <c r="L167" i="32"/>
  <c r="M167" i="32"/>
  <c r="K237" i="57"/>
  <c r="H237" i="57"/>
  <c r="C237" i="57"/>
  <c r="F237" i="57"/>
  <c r="I237" i="57"/>
  <c r="E237" i="57"/>
  <c r="D237" i="57"/>
  <c r="G237" i="57"/>
  <c r="J237" i="57"/>
  <c r="AN236" i="55" a="1"/>
  <c r="AN236" i="55" s="1"/>
  <c r="B238" i="57" s="1"/>
  <c r="AR222" i="67" a="1"/>
  <c r="AR222" i="67" s="1"/>
  <c r="B223" i="69"/>
  <c r="L223" i="69" s="1"/>
  <c r="D221" i="69"/>
  <c r="E221" i="69" s="1"/>
  <c r="F221" i="69" s="1"/>
  <c r="G221" i="69" s="1"/>
  <c r="H221" i="69" s="1"/>
  <c r="I221" i="69" s="1"/>
  <c r="J221" i="69" s="1"/>
  <c r="K221" i="69" s="1"/>
  <c r="M221" i="69" s="1"/>
  <c r="R220" i="69"/>
  <c r="S220" i="69" s="1"/>
  <c r="Y220" i="69" s="1"/>
  <c r="AE220" i="69"/>
  <c r="C222" i="69"/>
  <c r="P222" i="69" s="1"/>
  <c r="AL167" i="11" a="1"/>
  <c r="AL167" i="11" s="1"/>
  <c r="E168" i="32" s="1"/>
  <c r="AP177" i="59" a="1"/>
  <c r="AP177" i="59" s="1"/>
  <c r="E178" i="50" s="1"/>
  <c r="AQ67" i="59" a="1"/>
  <c r="AQ67" i="59" s="1"/>
  <c r="AM52" i="11" a="1"/>
  <c r="AM52" i="11" s="1"/>
  <c r="AD166" i="32" l="1"/>
  <c r="AG166" i="32" s="1"/>
  <c r="AH166" i="32" s="1"/>
  <c r="AD176" i="50"/>
  <c r="AG176" i="50" s="1"/>
  <c r="R236" i="57"/>
  <c r="AF234" i="57"/>
  <c r="AB234" i="57"/>
  <c r="AG237" i="57"/>
  <c r="X235" i="57"/>
  <c r="AB235" i="57" s="1"/>
  <c r="AD236" i="57"/>
  <c r="AJ236" i="57"/>
  <c r="Q236" i="57"/>
  <c r="T236" i="57" s="1"/>
  <c r="M238" i="53"/>
  <c r="AC238" i="53" s="1"/>
  <c r="O238" i="53"/>
  <c r="AP222" i="69"/>
  <c r="N222" i="69"/>
  <c r="U222" i="69" s="1"/>
  <c r="AQ236" i="57"/>
  <c r="AC236" i="57"/>
  <c r="AE236" i="57"/>
  <c r="M237" i="57"/>
  <c r="AK237" i="57" s="1"/>
  <c r="Q177" i="50"/>
  <c r="P177" i="50" s="1"/>
  <c r="Q167" i="32"/>
  <c r="P167" i="32" s="1"/>
  <c r="N238" i="53"/>
  <c r="T168" i="32"/>
  <c r="O168" i="32"/>
  <c r="T178" i="50"/>
  <c r="O178" i="50"/>
  <c r="AA236" i="53"/>
  <c r="AB236" i="53"/>
  <c r="AP174" i="50"/>
  <c r="AM167" i="32"/>
  <c r="C176" i="50"/>
  <c r="AJ176" i="50"/>
  <c r="S177" i="50"/>
  <c r="Z177" i="50" s="1"/>
  <c r="W166" i="32"/>
  <c r="X166" i="32" s="1"/>
  <c r="C166" i="32"/>
  <c r="AJ166" i="32"/>
  <c r="S167" i="32"/>
  <c r="Z167" i="32" s="1"/>
  <c r="W176" i="50"/>
  <c r="X175" i="50"/>
  <c r="V176" i="50"/>
  <c r="V166" i="32"/>
  <c r="AF221" i="69"/>
  <c r="Q221" i="69"/>
  <c r="O238" i="57"/>
  <c r="P238" i="57"/>
  <c r="AC219" i="69"/>
  <c r="AD219" i="69" s="1"/>
  <c r="AH175" i="50"/>
  <c r="AI175" i="50" s="1"/>
  <c r="AB220" i="69"/>
  <c r="AG220" i="69"/>
  <c r="O223" i="69"/>
  <c r="AO222" i="69"/>
  <c r="AK178" i="50"/>
  <c r="AE237" i="53"/>
  <c r="AF236" i="53"/>
  <c r="AK168" i="32"/>
  <c r="AM177" i="50"/>
  <c r="AL165" i="32"/>
  <c r="AI164" i="32"/>
  <c r="AN164" i="32" s="1"/>
  <c r="R237" i="53"/>
  <c r="X237" i="53" s="1"/>
  <c r="AL175" i="50"/>
  <c r="AY221" i="69"/>
  <c r="L238" i="57"/>
  <c r="AH237" i="53"/>
  <c r="AT237" i="53"/>
  <c r="AG237" i="53"/>
  <c r="N238" i="57"/>
  <c r="Q237" i="53"/>
  <c r="AD237" i="53"/>
  <c r="F238" i="53"/>
  <c r="AH221" i="69"/>
  <c r="L238" i="53"/>
  <c r="P238" i="53"/>
  <c r="I238" i="53"/>
  <c r="G238" i="53"/>
  <c r="K238" i="53"/>
  <c r="J238" i="53"/>
  <c r="AK237" i="52" a="1"/>
  <c r="AK237" i="52" s="1"/>
  <c r="B239" i="53" s="1"/>
  <c r="H238" i="53"/>
  <c r="D238" i="53"/>
  <c r="C238" i="53"/>
  <c r="E238" i="53"/>
  <c r="A168" i="32"/>
  <c r="B168" i="32"/>
  <c r="R168" i="32" s="1"/>
  <c r="A178" i="50"/>
  <c r="G178" i="50"/>
  <c r="H178" i="50"/>
  <c r="K178" i="50"/>
  <c r="M178" i="50"/>
  <c r="I178" i="50"/>
  <c r="L178" i="50"/>
  <c r="B178" i="50"/>
  <c r="R178" i="50" s="1"/>
  <c r="F178" i="50"/>
  <c r="U178" i="50" s="1"/>
  <c r="N178" i="50"/>
  <c r="J178" i="50"/>
  <c r="M168" i="32"/>
  <c r="H168" i="32"/>
  <c r="I168" i="32"/>
  <c r="L168" i="32"/>
  <c r="F168" i="32"/>
  <c r="U168" i="32" s="1"/>
  <c r="G168" i="32"/>
  <c r="J168" i="32"/>
  <c r="K168" i="32"/>
  <c r="N168" i="32"/>
  <c r="J238" i="57"/>
  <c r="E238" i="57"/>
  <c r="I238" i="57"/>
  <c r="D238" i="57"/>
  <c r="F238" i="57"/>
  <c r="K238" i="57"/>
  <c r="C238" i="57"/>
  <c r="G238" i="57"/>
  <c r="H238" i="57"/>
  <c r="AN237" i="55" a="1"/>
  <c r="AN237" i="55" s="1"/>
  <c r="B239" i="57" s="1"/>
  <c r="AR223" i="67" a="1"/>
  <c r="AR223" i="67" s="1"/>
  <c r="B224" i="69"/>
  <c r="L224" i="69" s="1"/>
  <c r="C223" i="69"/>
  <c r="P223" i="69" s="1"/>
  <c r="AE221" i="69"/>
  <c r="R221" i="69"/>
  <c r="S221" i="69" s="1"/>
  <c r="Y221" i="69" s="1"/>
  <c r="D222" i="69"/>
  <c r="E222" i="69" s="1"/>
  <c r="F222" i="69" s="1"/>
  <c r="G222" i="69" s="1"/>
  <c r="H222" i="69" s="1"/>
  <c r="I222" i="69" s="1"/>
  <c r="J222" i="69" s="1"/>
  <c r="K222" i="69" s="1"/>
  <c r="M222" i="69" s="1"/>
  <c r="AL168" i="11" a="1"/>
  <c r="AL168" i="11" s="1"/>
  <c r="E169" i="32" s="1"/>
  <c r="AP178" i="59" a="1"/>
  <c r="AP178" i="59" s="1"/>
  <c r="E179" i="50" s="1"/>
  <c r="AQ68" i="59" a="1"/>
  <c r="AQ68" i="59" s="1"/>
  <c r="AM53" i="11" a="1"/>
  <c r="AM53" i="11" s="1"/>
  <c r="X236" i="57" l="1"/>
  <c r="AA236" i="57" s="1"/>
  <c r="AD167" i="32"/>
  <c r="AG167" i="32" s="1"/>
  <c r="AH167" i="32" s="1"/>
  <c r="AD177" i="50"/>
  <c r="AG177" i="50" s="1"/>
  <c r="AG238" i="57"/>
  <c r="AF235" i="57"/>
  <c r="AA235" i="57"/>
  <c r="AE237" i="57"/>
  <c r="M239" i="53"/>
  <c r="AC239" i="53" s="1"/>
  <c r="O239" i="53"/>
  <c r="AP223" i="69"/>
  <c r="N223" i="69"/>
  <c r="U223" i="69" s="1"/>
  <c r="AJ237" i="57"/>
  <c r="Q237" i="57"/>
  <c r="T237" i="57" s="1"/>
  <c r="AD237" i="57"/>
  <c r="R237" i="57"/>
  <c r="AQ237" i="57"/>
  <c r="AC237" i="57"/>
  <c r="M238" i="57"/>
  <c r="AK238" i="57" s="1"/>
  <c r="Q178" i="50"/>
  <c r="P178" i="50" s="1"/>
  <c r="Q168" i="32"/>
  <c r="P168" i="32" s="1"/>
  <c r="N239" i="53"/>
  <c r="T169" i="32"/>
  <c r="O169" i="32"/>
  <c r="T179" i="50"/>
  <c r="O179" i="50"/>
  <c r="AA237" i="53"/>
  <c r="AB237" i="53"/>
  <c r="AP175" i="50"/>
  <c r="AM168" i="32"/>
  <c r="C177" i="50"/>
  <c r="AJ177" i="50"/>
  <c r="S178" i="50"/>
  <c r="Z178" i="50" s="1"/>
  <c r="C167" i="32"/>
  <c r="AJ167" i="32"/>
  <c r="W167" i="32"/>
  <c r="X167" i="32" s="1"/>
  <c r="S168" i="32"/>
  <c r="AD168" i="32" s="1"/>
  <c r="W177" i="50"/>
  <c r="X176" i="50"/>
  <c r="V177" i="50"/>
  <c r="V167" i="32"/>
  <c r="AF222" i="69"/>
  <c r="Q222" i="69"/>
  <c r="O239" i="57"/>
  <c r="P239" i="57"/>
  <c r="AC220" i="69"/>
  <c r="AD220" i="69" s="1"/>
  <c r="AH176" i="50"/>
  <c r="AI176" i="50" s="1"/>
  <c r="AB221" i="69"/>
  <c r="AG221" i="69"/>
  <c r="AO223" i="69"/>
  <c r="O224" i="69"/>
  <c r="AK179" i="50"/>
  <c r="AE238" i="53"/>
  <c r="AF237" i="53"/>
  <c r="AK169" i="32"/>
  <c r="AM178" i="50"/>
  <c r="AL166" i="32"/>
  <c r="AI165" i="32"/>
  <c r="AN165" i="32" s="1"/>
  <c r="R238" i="53"/>
  <c r="X238" i="53" s="1"/>
  <c r="AL176" i="50"/>
  <c r="AY222" i="69"/>
  <c r="L239" i="57"/>
  <c r="AH238" i="53"/>
  <c r="AT238" i="53"/>
  <c r="AG238" i="53"/>
  <c r="N239" i="57"/>
  <c r="F239" i="53"/>
  <c r="AH222" i="69"/>
  <c r="Q238" i="53"/>
  <c r="AD238" i="53"/>
  <c r="J239" i="53"/>
  <c r="P239" i="53"/>
  <c r="AK238" i="52" a="1"/>
  <c r="AK238" i="52" s="1"/>
  <c r="B240" i="53" s="1"/>
  <c r="H239" i="53"/>
  <c r="C239" i="53"/>
  <c r="D239" i="53"/>
  <c r="E239" i="53"/>
  <c r="I239" i="53"/>
  <c r="K239" i="53"/>
  <c r="L239" i="53"/>
  <c r="G239" i="53"/>
  <c r="A169" i="32"/>
  <c r="B169" i="32"/>
  <c r="R169" i="32" s="1"/>
  <c r="F179" i="50"/>
  <c r="U179" i="50" s="1"/>
  <c r="I179" i="50"/>
  <c r="N179" i="50"/>
  <c r="A179" i="50"/>
  <c r="M179" i="50"/>
  <c r="H179" i="50"/>
  <c r="K179" i="50"/>
  <c r="J179" i="50"/>
  <c r="L179" i="50"/>
  <c r="B179" i="50"/>
  <c r="R179" i="50" s="1"/>
  <c r="G179" i="50"/>
  <c r="K169" i="32"/>
  <c r="F169" i="32"/>
  <c r="U169" i="32" s="1"/>
  <c r="N169" i="32"/>
  <c r="G169" i="32"/>
  <c r="J169" i="32"/>
  <c r="L169" i="32"/>
  <c r="M169" i="32"/>
  <c r="I169" i="32"/>
  <c r="H169" i="32"/>
  <c r="H239" i="57"/>
  <c r="F239" i="57"/>
  <c r="D239" i="57"/>
  <c r="G239" i="57"/>
  <c r="C239" i="57"/>
  <c r="J239" i="57"/>
  <c r="I239" i="57"/>
  <c r="E239" i="57"/>
  <c r="K239" i="57"/>
  <c r="AN238" i="55" a="1"/>
  <c r="AN238" i="55" s="1"/>
  <c r="B240" i="57" s="1"/>
  <c r="AR224" i="67" a="1"/>
  <c r="AR224" i="67" s="1"/>
  <c r="B225" i="69"/>
  <c r="L225" i="69" s="1"/>
  <c r="D223" i="69"/>
  <c r="E223" i="69" s="1"/>
  <c r="F223" i="69" s="1"/>
  <c r="G223" i="69" s="1"/>
  <c r="H223" i="69" s="1"/>
  <c r="I223" i="69" s="1"/>
  <c r="J223" i="69" s="1"/>
  <c r="K223" i="69" s="1"/>
  <c r="M223" i="69" s="1"/>
  <c r="R222" i="69"/>
  <c r="S222" i="69" s="1"/>
  <c r="Y222" i="69" s="1"/>
  <c r="AE222" i="69"/>
  <c r="C224" i="69"/>
  <c r="P224" i="69" s="1"/>
  <c r="AL169" i="11" a="1"/>
  <c r="AL169" i="11" s="1"/>
  <c r="E170" i="32" s="1"/>
  <c r="AP179" i="59" a="1"/>
  <c r="AP179" i="59" s="1"/>
  <c r="E180" i="50" s="1"/>
  <c r="AQ69" i="59" a="1"/>
  <c r="AQ69" i="59" s="1"/>
  <c r="AM54" i="11" a="1"/>
  <c r="AM54" i="11" s="1"/>
  <c r="AB236" i="57" l="1"/>
  <c r="AF236" i="57"/>
  <c r="AD178" i="50"/>
  <c r="AG178" i="50" s="1"/>
  <c r="X237" i="57"/>
  <c r="AB237" i="57" s="1"/>
  <c r="AG239" i="57"/>
  <c r="AE238" i="57"/>
  <c r="M240" i="53"/>
  <c r="AC240" i="53" s="1"/>
  <c r="O240" i="53"/>
  <c r="AP224" i="69"/>
  <c r="N224" i="69"/>
  <c r="U224" i="69" s="1"/>
  <c r="Q238" i="57"/>
  <c r="T238" i="57" s="1"/>
  <c r="AJ238" i="57"/>
  <c r="AD238" i="57"/>
  <c r="R238" i="57"/>
  <c r="AQ238" i="57"/>
  <c r="AC238" i="57"/>
  <c r="M239" i="57"/>
  <c r="AK239" i="57" s="1"/>
  <c r="Q179" i="50"/>
  <c r="P179" i="50" s="1"/>
  <c r="Q169" i="32"/>
  <c r="P169" i="32" s="1"/>
  <c r="N240" i="53"/>
  <c r="T170" i="32"/>
  <c r="O170" i="32"/>
  <c r="T180" i="50"/>
  <c r="O180" i="50"/>
  <c r="AA238" i="53"/>
  <c r="AB238" i="53"/>
  <c r="AP176" i="50"/>
  <c r="C168" i="32"/>
  <c r="Z168" i="32"/>
  <c r="AM169" i="32"/>
  <c r="C178" i="50"/>
  <c r="AJ178" i="50"/>
  <c r="S179" i="50"/>
  <c r="Z179" i="50" s="1"/>
  <c r="W168" i="32"/>
  <c r="X168" i="32" s="1"/>
  <c r="S169" i="32"/>
  <c r="Z169" i="32" s="1"/>
  <c r="AJ168" i="32"/>
  <c r="W178" i="50"/>
  <c r="X177" i="50"/>
  <c r="V178" i="50"/>
  <c r="V168" i="32"/>
  <c r="AF223" i="69"/>
  <c r="Q223" i="69"/>
  <c r="O240" i="57"/>
  <c r="P240" i="57"/>
  <c r="AC221" i="69"/>
  <c r="AD221" i="69" s="1"/>
  <c r="AH177" i="50"/>
  <c r="AI177" i="50" s="1"/>
  <c r="AB222" i="69"/>
  <c r="AG222" i="69"/>
  <c r="AO224" i="69"/>
  <c r="O225" i="69"/>
  <c r="AK180" i="50"/>
  <c r="AE239" i="53"/>
  <c r="AF238" i="53"/>
  <c r="AK170" i="32"/>
  <c r="AG168" i="32"/>
  <c r="AH168" i="32" s="1"/>
  <c r="AM179" i="50"/>
  <c r="AL167" i="32"/>
  <c r="AI166" i="32"/>
  <c r="AN166" i="32" s="1"/>
  <c r="R239" i="53"/>
  <c r="X239" i="53" s="1"/>
  <c r="AL177" i="50"/>
  <c r="AY223" i="69"/>
  <c r="L240" i="57"/>
  <c r="AG239" i="53"/>
  <c r="AH239" i="53"/>
  <c r="AT239" i="53"/>
  <c r="N240" i="57"/>
  <c r="H240" i="53"/>
  <c r="AH223" i="69"/>
  <c r="Q239" i="53"/>
  <c r="AD239" i="53"/>
  <c r="E240" i="53"/>
  <c r="C240" i="53"/>
  <c r="G240" i="53"/>
  <c r="D240" i="53"/>
  <c r="F240" i="53"/>
  <c r="L240" i="53"/>
  <c r="J240" i="53"/>
  <c r="P240" i="53"/>
  <c r="I240" i="53"/>
  <c r="AK239" i="52" a="1"/>
  <c r="AK239" i="52" s="1"/>
  <c r="B241" i="53" s="1"/>
  <c r="K240" i="53"/>
  <c r="A170" i="32"/>
  <c r="B170" i="32"/>
  <c r="R170" i="32" s="1"/>
  <c r="G180" i="50"/>
  <c r="L180" i="50"/>
  <c r="M180" i="50"/>
  <c r="H180" i="50"/>
  <c r="N180" i="50"/>
  <c r="I180" i="50"/>
  <c r="J180" i="50"/>
  <c r="B180" i="50"/>
  <c r="R180" i="50" s="1"/>
  <c r="K180" i="50"/>
  <c r="A180" i="50"/>
  <c r="F180" i="50"/>
  <c r="U180" i="50" s="1"/>
  <c r="I170" i="32"/>
  <c r="L170" i="32"/>
  <c r="M170" i="32"/>
  <c r="H170" i="32"/>
  <c r="F170" i="32"/>
  <c r="U170" i="32" s="1"/>
  <c r="G170" i="32"/>
  <c r="J170" i="32"/>
  <c r="K170" i="32"/>
  <c r="N170" i="32"/>
  <c r="J240" i="57"/>
  <c r="K240" i="57"/>
  <c r="D240" i="57"/>
  <c r="G240" i="57"/>
  <c r="C240" i="57"/>
  <c r="F240" i="57"/>
  <c r="I240" i="57"/>
  <c r="E240" i="57"/>
  <c r="H240" i="57"/>
  <c r="AN239" i="55" a="1"/>
  <c r="AN239" i="55" s="1"/>
  <c r="B241" i="57" s="1"/>
  <c r="D224" i="69"/>
  <c r="E224" i="69" s="1"/>
  <c r="F224" i="69" s="1"/>
  <c r="G224" i="69" s="1"/>
  <c r="H224" i="69" s="1"/>
  <c r="I224" i="69" s="1"/>
  <c r="J224" i="69" s="1"/>
  <c r="K224" i="69" s="1"/>
  <c r="M224" i="69" s="1"/>
  <c r="C225" i="69"/>
  <c r="P225" i="69" s="1"/>
  <c r="AE223" i="69"/>
  <c r="R223" i="69"/>
  <c r="S223" i="69" s="1"/>
  <c r="Y223" i="69" s="1"/>
  <c r="AR225" i="67" a="1"/>
  <c r="AR225" i="67" s="1"/>
  <c r="B226" i="69"/>
  <c r="L226" i="69" s="1"/>
  <c r="AL170" i="11" a="1"/>
  <c r="AL170" i="11" s="1"/>
  <c r="E171" i="32" s="1"/>
  <c r="AP180" i="59" a="1"/>
  <c r="AP180" i="59" s="1"/>
  <c r="E181" i="50" s="1"/>
  <c r="AQ70" i="59" a="1"/>
  <c r="AQ70" i="59" s="1"/>
  <c r="AM55" i="11" a="1"/>
  <c r="AM55" i="11" s="1"/>
  <c r="AD169" i="32" l="1"/>
  <c r="AG169" i="32" s="1"/>
  <c r="AH169" i="32" s="1"/>
  <c r="AD179" i="50"/>
  <c r="AG179" i="50" s="1"/>
  <c r="AG240" i="57"/>
  <c r="X238" i="57"/>
  <c r="AB238" i="57" s="1"/>
  <c r="AA237" i="57"/>
  <c r="M241" i="53"/>
  <c r="AC241" i="53" s="1"/>
  <c r="O241" i="53"/>
  <c r="AP225" i="69"/>
  <c r="N225" i="69"/>
  <c r="U225" i="69" s="1"/>
  <c r="AC239" i="57"/>
  <c r="AQ239" i="57"/>
  <c r="Q239" i="57"/>
  <c r="T239" i="57" s="1"/>
  <c r="R239" i="57"/>
  <c r="AF237" i="57"/>
  <c r="AD239" i="57"/>
  <c r="AJ239" i="57"/>
  <c r="AE239" i="57"/>
  <c r="M240" i="57"/>
  <c r="AK240" i="57" s="1"/>
  <c r="Q180" i="50"/>
  <c r="P180" i="50" s="1"/>
  <c r="Q170" i="32"/>
  <c r="P170" i="32" s="1"/>
  <c r="N241" i="53"/>
  <c r="T171" i="32"/>
  <c r="O171" i="32"/>
  <c r="T181" i="50"/>
  <c r="O181" i="50"/>
  <c r="AA239" i="53"/>
  <c r="AB239" i="53"/>
  <c r="AP177" i="50"/>
  <c r="AM170" i="32"/>
  <c r="AJ179" i="50"/>
  <c r="C179" i="50"/>
  <c r="S180" i="50"/>
  <c r="Z180" i="50" s="1"/>
  <c r="W169" i="32"/>
  <c r="X169" i="32" s="1"/>
  <c r="C169" i="32"/>
  <c r="AJ169" i="32"/>
  <c r="S170" i="32"/>
  <c r="AD170" i="32" s="1"/>
  <c r="W179" i="50"/>
  <c r="X178" i="50"/>
  <c r="V179" i="50"/>
  <c r="V169" i="32"/>
  <c r="AF224" i="69"/>
  <c r="Q224" i="69"/>
  <c r="O241" i="57"/>
  <c r="P241" i="57"/>
  <c r="AC222" i="69"/>
  <c r="AD222" i="69" s="1"/>
  <c r="AH178" i="50"/>
  <c r="AI178" i="50" s="1"/>
  <c r="AB223" i="69"/>
  <c r="AG223" i="69"/>
  <c r="O226" i="69"/>
  <c r="AO225" i="69"/>
  <c r="AK181" i="50"/>
  <c r="AF239" i="53"/>
  <c r="AE240" i="53"/>
  <c r="AK171" i="32"/>
  <c r="AM180" i="50"/>
  <c r="AL168" i="32"/>
  <c r="AI167" i="32"/>
  <c r="AN167" i="32" s="1"/>
  <c r="R240" i="53"/>
  <c r="X240" i="53" s="1"/>
  <c r="AL178" i="50"/>
  <c r="AY224" i="69"/>
  <c r="L241" i="57"/>
  <c r="AG240" i="53"/>
  <c r="AH240" i="53"/>
  <c r="AT240" i="53"/>
  <c r="N241" i="57"/>
  <c r="L241" i="53"/>
  <c r="AH224" i="69"/>
  <c r="AD240" i="53"/>
  <c r="Q240" i="53"/>
  <c r="E241" i="53"/>
  <c r="G241" i="53"/>
  <c r="P241" i="53"/>
  <c r="D241" i="53"/>
  <c r="J241" i="53"/>
  <c r="K241" i="53"/>
  <c r="F241" i="53"/>
  <c r="AK240" i="52" a="1"/>
  <c r="AK240" i="52" s="1"/>
  <c r="B242" i="53" s="1"/>
  <c r="I241" i="53"/>
  <c r="C241" i="53"/>
  <c r="H241" i="53"/>
  <c r="A171" i="32"/>
  <c r="B171" i="32"/>
  <c r="R171" i="32" s="1"/>
  <c r="M181" i="50"/>
  <c r="A181" i="50"/>
  <c r="G181" i="50"/>
  <c r="K181" i="50"/>
  <c r="F181" i="50"/>
  <c r="U181" i="50" s="1"/>
  <c r="I181" i="50"/>
  <c r="L181" i="50"/>
  <c r="N181" i="50"/>
  <c r="H181" i="50"/>
  <c r="J181" i="50"/>
  <c r="B181" i="50"/>
  <c r="R181" i="50" s="1"/>
  <c r="G171" i="32"/>
  <c r="J171" i="32"/>
  <c r="K171" i="32"/>
  <c r="F171" i="32"/>
  <c r="U171" i="32" s="1"/>
  <c r="N171" i="32"/>
  <c r="H171" i="32"/>
  <c r="I171" i="32"/>
  <c r="L171" i="32"/>
  <c r="M171" i="32"/>
  <c r="H241" i="57"/>
  <c r="D241" i="57"/>
  <c r="G241" i="57"/>
  <c r="C241" i="57"/>
  <c r="J241" i="57"/>
  <c r="F241" i="57"/>
  <c r="K241" i="57"/>
  <c r="E241" i="57"/>
  <c r="I241" i="57"/>
  <c r="AN240" i="55" a="1"/>
  <c r="AN240" i="55" s="1"/>
  <c r="B242" i="57" s="1"/>
  <c r="AR226" i="67" a="1"/>
  <c r="AR226" i="67" s="1"/>
  <c r="B227" i="69"/>
  <c r="L227" i="69" s="1"/>
  <c r="D225" i="69"/>
  <c r="E225" i="69" s="1"/>
  <c r="F225" i="69" s="1"/>
  <c r="G225" i="69" s="1"/>
  <c r="H225" i="69" s="1"/>
  <c r="I225" i="69" s="1"/>
  <c r="J225" i="69" s="1"/>
  <c r="K225" i="69" s="1"/>
  <c r="M225" i="69" s="1"/>
  <c r="C226" i="69"/>
  <c r="P226" i="69" s="1"/>
  <c r="AE224" i="69"/>
  <c r="R224" i="69"/>
  <c r="S224" i="69" s="1"/>
  <c r="Y224" i="69" s="1"/>
  <c r="AL171" i="11" a="1"/>
  <c r="AL171" i="11" s="1"/>
  <c r="E172" i="32" s="1"/>
  <c r="AP181" i="59" a="1"/>
  <c r="AP181" i="59" s="1"/>
  <c r="E182" i="50" s="1"/>
  <c r="AQ71" i="59" a="1"/>
  <c r="AQ71" i="59" s="1"/>
  <c r="AM56" i="11" a="1"/>
  <c r="AM56" i="11" s="1"/>
  <c r="X239" i="57" l="1"/>
  <c r="AA239" i="57" s="1"/>
  <c r="AD180" i="50"/>
  <c r="AG180" i="50" s="1"/>
  <c r="AG241" i="57"/>
  <c r="AA238" i="57"/>
  <c r="AF238" i="57"/>
  <c r="M242" i="53"/>
  <c r="AC242" i="53" s="1"/>
  <c r="O242" i="53"/>
  <c r="AP226" i="69"/>
  <c r="N226" i="69"/>
  <c r="U226" i="69" s="1"/>
  <c r="Q240" i="57"/>
  <c r="T240" i="57" s="1"/>
  <c r="AJ240" i="57"/>
  <c r="AD240" i="57"/>
  <c r="R240" i="57"/>
  <c r="AQ240" i="57"/>
  <c r="AC240" i="57"/>
  <c r="AE240" i="57"/>
  <c r="M241" i="57"/>
  <c r="AK241" i="57" s="1"/>
  <c r="Q181" i="50"/>
  <c r="P181" i="50" s="1"/>
  <c r="Q171" i="32"/>
  <c r="P171" i="32" s="1"/>
  <c r="N242" i="53"/>
  <c r="T172" i="32"/>
  <c r="O172" i="32"/>
  <c r="T182" i="50"/>
  <c r="O182" i="50"/>
  <c r="AA240" i="53"/>
  <c r="AB240" i="53"/>
  <c r="AP178" i="50"/>
  <c r="C170" i="32"/>
  <c r="Z170" i="32"/>
  <c r="AM171" i="32"/>
  <c r="C180" i="50"/>
  <c r="AJ180" i="50"/>
  <c r="S181" i="50"/>
  <c r="Z181" i="50" s="1"/>
  <c r="W170" i="32"/>
  <c r="X170" i="32" s="1"/>
  <c r="S171" i="32"/>
  <c r="Z171" i="32" s="1"/>
  <c r="AJ170" i="32"/>
  <c r="W180" i="50"/>
  <c r="X179" i="50"/>
  <c r="V180" i="50"/>
  <c r="V170" i="32"/>
  <c r="AF225" i="69"/>
  <c r="Q225" i="69"/>
  <c r="O242" i="57"/>
  <c r="P242" i="57"/>
  <c r="AC223" i="69"/>
  <c r="AD223" i="69" s="1"/>
  <c r="AH179" i="50"/>
  <c r="AI179" i="50" s="1"/>
  <c r="AB224" i="69"/>
  <c r="AG224" i="69"/>
  <c r="AO226" i="69"/>
  <c r="O227" i="69"/>
  <c r="AK182" i="50"/>
  <c r="AE241" i="53"/>
  <c r="AF240" i="53"/>
  <c r="AK172" i="32"/>
  <c r="AG170" i="32"/>
  <c r="AH170" i="32" s="1"/>
  <c r="AM181" i="50"/>
  <c r="AL169" i="32"/>
  <c r="AI168" i="32"/>
  <c r="AN168" i="32" s="1"/>
  <c r="R241" i="53"/>
  <c r="X241" i="53" s="1"/>
  <c r="AL179" i="50"/>
  <c r="AY225" i="69"/>
  <c r="L242" i="57"/>
  <c r="AH241" i="53"/>
  <c r="AT241" i="53"/>
  <c r="AG241" i="53"/>
  <c r="N242" i="57"/>
  <c r="I242" i="53"/>
  <c r="AH225" i="69"/>
  <c r="Q241" i="53"/>
  <c r="AD241" i="53"/>
  <c r="J242" i="53"/>
  <c r="F242" i="53"/>
  <c r="G242" i="53"/>
  <c r="L242" i="53"/>
  <c r="P242" i="53"/>
  <c r="K242" i="53"/>
  <c r="AK241" i="52" a="1"/>
  <c r="AK241" i="52" s="1"/>
  <c r="B243" i="53" s="1"/>
  <c r="C242" i="53"/>
  <c r="H242" i="53"/>
  <c r="D242" i="53"/>
  <c r="E242" i="53"/>
  <c r="A172" i="32"/>
  <c r="B172" i="32"/>
  <c r="R172" i="32" s="1"/>
  <c r="H182" i="50"/>
  <c r="I182" i="50"/>
  <c r="G182" i="50"/>
  <c r="M182" i="50"/>
  <c r="N182" i="50"/>
  <c r="A182" i="50"/>
  <c r="F182" i="50"/>
  <c r="U182" i="50" s="1"/>
  <c r="L182" i="50"/>
  <c r="B182" i="50"/>
  <c r="R182" i="50" s="1"/>
  <c r="J182" i="50"/>
  <c r="K182" i="50"/>
  <c r="M172" i="32"/>
  <c r="H172" i="32"/>
  <c r="I172" i="32"/>
  <c r="L172" i="32"/>
  <c r="N172" i="32"/>
  <c r="F172" i="32"/>
  <c r="U172" i="32" s="1"/>
  <c r="G172" i="32"/>
  <c r="J172" i="32"/>
  <c r="K172" i="32"/>
  <c r="J242" i="57"/>
  <c r="F242" i="57"/>
  <c r="C242" i="57"/>
  <c r="I242" i="57"/>
  <c r="E242" i="57"/>
  <c r="K242" i="57"/>
  <c r="H242" i="57"/>
  <c r="D242" i="57"/>
  <c r="G242" i="57"/>
  <c r="AN241" i="55" a="1"/>
  <c r="AN241" i="55" s="1"/>
  <c r="B243" i="57" s="1"/>
  <c r="AR227" i="67" a="1"/>
  <c r="AR227" i="67" s="1"/>
  <c r="B228" i="69"/>
  <c r="L228" i="69" s="1"/>
  <c r="D226" i="69"/>
  <c r="E226" i="69" s="1"/>
  <c r="F226" i="69" s="1"/>
  <c r="G226" i="69" s="1"/>
  <c r="H226" i="69" s="1"/>
  <c r="I226" i="69" s="1"/>
  <c r="J226" i="69" s="1"/>
  <c r="K226" i="69" s="1"/>
  <c r="M226" i="69" s="1"/>
  <c r="R225" i="69"/>
  <c r="S225" i="69" s="1"/>
  <c r="AE225" i="69"/>
  <c r="C227" i="69"/>
  <c r="P227" i="69" s="1"/>
  <c r="AL172" i="11" a="1"/>
  <c r="AL172" i="11" s="1"/>
  <c r="E173" i="32" s="1"/>
  <c r="AP182" i="59" a="1"/>
  <c r="AP182" i="59" s="1"/>
  <c r="E183" i="50" s="1"/>
  <c r="AQ72" i="59" a="1"/>
  <c r="AQ72" i="59" s="1"/>
  <c r="AM57" i="11" a="1"/>
  <c r="AM57" i="11" s="1"/>
  <c r="AB239" i="57" l="1"/>
  <c r="Y225" i="69"/>
  <c r="AB225" i="69" s="1"/>
  <c r="AC225" i="69" s="1"/>
  <c r="AD225" i="69" s="1"/>
  <c r="AD171" i="32"/>
  <c r="AG171" i="32" s="1"/>
  <c r="AH171" i="32" s="1"/>
  <c r="AD181" i="50"/>
  <c r="AG181" i="50" s="1"/>
  <c r="X240" i="57"/>
  <c r="AB240" i="57" s="1"/>
  <c r="AG242" i="57"/>
  <c r="AF239" i="57"/>
  <c r="M243" i="53"/>
  <c r="AC243" i="53" s="1"/>
  <c r="O243" i="53"/>
  <c r="AP227" i="69"/>
  <c r="N227" i="69"/>
  <c r="U227" i="69" s="1"/>
  <c r="R241" i="57"/>
  <c r="AD241" i="57"/>
  <c r="Q241" i="57"/>
  <c r="T241" i="57" s="1"/>
  <c r="AE241" i="57"/>
  <c r="AJ241" i="57"/>
  <c r="AQ241" i="57"/>
  <c r="AC241" i="57"/>
  <c r="M242" i="57"/>
  <c r="AK242" i="57" s="1"/>
  <c r="Q182" i="50"/>
  <c r="P182" i="50" s="1"/>
  <c r="Q172" i="32"/>
  <c r="P172" i="32" s="1"/>
  <c r="N243" i="53"/>
  <c r="T173" i="32"/>
  <c r="O173" i="32"/>
  <c r="T183" i="50"/>
  <c r="O183" i="50"/>
  <c r="AP179" i="50"/>
  <c r="AA241" i="53"/>
  <c r="AB241" i="53"/>
  <c r="AM172" i="32"/>
  <c r="AJ181" i="50"/>
  <c r="C181" i="50"/>
  <c r="S182" i="50"/>
  <c r="Z182" i="50" s="1"/>
  <c r="AJ171" i="32"/>
  <c r="W171" i="32"/>
  <c r="X171" i="32" s="1"/>
  <c r="C171" i="32"/>
  <c r="S172" i="32"/>
  <c r="AD172" i="32" s="1"/>
  <c r="W181" i="50"/>
  <c r="X180" i="50"/>
  <c r="V181" i="50"/>
  <c r="V171" i="32"/>
  <c r="AF226" i="69"/>
  <c r="Q226" i="69"/>
  <c r="O243" i="57"/>
  <c r="P243" i="57"/>
  <c r="AC224" i="69"/>
  <c r="AD224" i="69" s="1"/>
  <c r="AH180" i="50"/>
  <c r="AI180" i="50" s="1"/>
  <c r="O228" i="69"/>
  <c r="AO227" i="69"/>
  <c r="AK183" i="50"/>
  <c r="AE242" i="53"/>
  <c r="AF241" i="53"/>
  <c r="AK173" i="32"/>
  <c r="AM182" i="50"/>
  <c r="AL170" i="32"/>
  <c r="AI169" i="32"/>
  <c r="AN169" i="32" s="1"/>
  <c r="R242" i="53"/>
  <c r="X242" i="53" s="1"/>
  <c r="AL180" i="50"/>
  <c r="AY226" i="69"/>
  <c r="L243" i="57"/>
  <c r="AH242" i="53"/>
  <c r="AT242" i="53"/>
  <c r="AG242" i="53"/>
  <c r="N243" i="57"/>
  <c r="AH226" i="69"/>
  <c r="AD242" i="53"/>
  <c r="Q242" i="53"/>
  <c r="J243" i="53"/>
  <c r="I243" i="53"/>
  <c r="F243" i="53"/>
  <c r="K243" i="53"/>
  <c r="P243" i="53"/>
  <c r="L243" i="53"/>
  <c r="G243" i="53"/>
  <c r="E243" i="53"/>
  <c r="C243" i="53"/>
  <c r="D243" i="53"/>
  <c r="AK242" i="52" a="1"/>
  <c r="AK242" i="52" s="1"/>
  <c r="B244" i="53" s="1"/>
  <c r="H243" i="53"/>
  <c r="A173" i="32"/>
  <c r="B173" i="32"/>
  <c r="R173" i="32" s="1"/>
  <c r="A183" i="50"/>
  <c r="B183" i="50"/>
  <c r="R183" i="50" s="1"/>
  <c r="L183" i="50"/>
  <c r="F183" i="50"/>
  <c r="U183" i="50" s="1"/>
  <c r="N183" i="50"/>
  <c r="H183" i="50"/>
  <c r="K183" i="50"/>
  <c r="J183" i="50"/>
  <c r="M183" i="50"/>
  <c r="I183" i="50"/>
  <c r="G183" i="50"/>
  <c r="K173" i="32"/>
  <c r="F173" i="32"/>
  <c r="U173" i="32" s="1"/>
  <c r="N173" i="32"/>
  <c r="G173" i="32"/>
  <c r="J173" i="32"/>
  <c r="H173" i="32"/>
  <c r="I173" i="32"/>
  <c r="L173" i="32"/>
  <c r="M173" i="32"/>
  <c r="H243" i="57"/>
  <c r="F243" i="57"/>
  <c r="D243" i="57"/>
  <c r="K243" i="57"/>
  <c r="G243" i="57"/>
  <c r="C243" i="57"/>
  <c r="J243" i="57"/>
  <c r="E243" i="57"/>
  <c r="I243" i="57"/>
  <c r="AN242" i="55" a="1"/>
  <c r="AN242" i="55" s="1"/>
  <c r="B244" i="57" s="1"/>
  <c r="AR228" i="67" a="1"/>
  <c r="AR228" i="67" s="1"/>
  <c r="B229" i="69"/>
  <c r="L229" i="69" s="1"/>
  <c r="D227" i="69"/>
  <c r="E227" i="69" s="1"/>
  <c r="F227" i="69" s="1"/>
  <c r="G227" i="69" s="1"/>
  <c r="H227" i="69" s="1"/>
  <c r="I227" i="69" s="1"/>
  <c r="J227" i="69" s="1"/>
  <c r="K227" i="69" s="1"/>
  <c r="M227" i="69" s="1"/>
  <c r="R226" i="69"/>
  <c r="S226" i="69" s="1"/>
  <c r="Y226" i="69" s="1"/>
  <c r="AE226" i="69"/>
  <c r="C228" i="69"/>
  <c r="P228" i="69" s="1"/>
  <c r="AL173" i="11" a="1"/>
  <c r="AL173" i="11" s="1"/>
  <c r="E174" i="32" s="1"/>
  <c r="AP183" i="59" a="1"/>
  <c r="AP183" i="59" s="1"/>
  <c r="E184" i="50" s="1"/>
  <c r="AQ73" i="59" a="1"/>
  <c r="AQ73" i="59" s="1"/>
  <c r="AM58" i="11" a="1"/>
  <c r="AM58" i="11" s="1"/>
  <c r="AG225" i="69" l="1"/>
  <c r="AB226" i="69"/>
  <c r="AC226" i="69" s="1"/>
  <c r="AD226" i="69" s="1"/>
  <c r="AD182" i="50"/>
  <c r="AG182" i="50" s="1"/>
  <c r="X241" i="57"/>
  <c r="AB241" i="57" s="1"/>
  <c r="AG243" i="57"/>
  <c r="M244" i="53"/>
  <c r="AC244" i="53" s="1"/>
  <c r="O244" i="53"/>
  <c r="AP228" i="69"/>
  <c r="N228" i="69"/>
  <c r="U228" i="69" s="1"/>
  <c r="AJ242" i="57"/>
  <c r="Q242" i="57"/>
  <c r="T242" i="57" s="1"/>
  <c r="R242" i="57"/>
  <c r="AD242" i="57"/>
  <c r="AE242" i="57"/>
  <c r="AF240" i="57"/>
  <c r="AA240" i="57"/>
  <c r="AQ242" i="57"/>
  <c r="AC242" i="57"/>
  <c r="M243" i="57"/>
  <c r="AK243" i="57" s="1"/>
  <c r="Q183" i="50"/>
  <c r="P183" i="50" s="1"/>
  <c r="Q173" i="32"/>
  <c r="P173" i="32" s="1"/>
  <c r="N244" i="53"/>
  <c r="T174" i="32"/>
  <c r="O174" i="32"/>
  <c r="T184" i="50"/>
  <c r="O184" i="50"/>
  <c r="AA242" i="53"/>
  <c r="AB242" i="53"/>
  <c r="AP180" i="50"/>
  <c r="C172" i="32"/>
  <c r="Z172" i="32"/>
  <c r="AM173" i="32"/>
  <c r="C182" i="50"/>
  <c r="AJ182" i="50"/>
  <c r="S183" i="50"/>
  <c r="Z183" i="50" s="1"/>
  <c r="W172" i="32"/>
  <c r="X172" i="32" s="1"/>
  <c r="S173" i="32"/>
  <c r="Z173" i="32" s="1"/>
  <c r="AJ172" i="32"/>
  <c r="W182" i="50"/>
  <c r="X181" i="50"/>
  <c r="V182" i="50"/>
  <c r="V172" i="32"/>
  <c r="AF227" i="69"/>
  <c r="Q227" i="69"/>
  <c r="O244" i="57"/>
  <c r="P244" i="57"/>
  <c r="AH181" i="50"/>
  <c r="AI181" i="50" s="1"/>
  <c r="O229" i="69"/>
  <c r="AO228" i="69"/>
  <c r="AG226" i="69"/>
  <c r="AK184" i="50"/>
  <c r="AE243" i="53"/>
  <c r="AF242" i="53"/>
  <c r="AK174" i="32"/>
  <c r="AG172" i="32"/>
  <c r="AH172" i="32" s="1"/>
  <c r="AM183" i="50"/>
  <c r="AL171" i="32"/>
  <c r="AI170" i="32"/>
  <c r="AN170" i="32" s="1"/>
  <c r="R243" i="53"/>
  <c r="X243" i="53" s="1"/>
  <c r="AL181" i="50"/>
  <c r="AY227" i="69"/>
  <c r="L244" i="57"/>
  <c r="AH243" i="53"/>
  <c r="AT243" i="53"/>
  <c r="AG243" i="53"/>
  <c r="N244" i="57"/>
  <c r="AH227" i="69"/>
  <c r="AD243" i="53"/>
  <c r="Q243" i="53"/>
  <c r="J244" i="53"/>
  <c r="D244" i="53"/>
  <c r="C244" i="53"/>
  <c r="L244" i="53"/>
  <c r="E244" i="53"/>
  <c r="I244" i="53"/>
  <c r="AK243" i="52" a="1"/>
  <c r="AK243" i="52" s="1"/>
  <c r="B245" i="53" s="1"/>
  <c r="F244" i="53"/>
  <c r="G244" i="53"/>
  <c r="K244" i="53"/>
  <c r="P244" i="53"/>
  <c r="H244" i="53"/>
  <c r="A174" i="32"/>
  <c r="B174" i="32"/>
  <c r="R174" i="32" s="1"/>
  <c r="M184" i="50"/>
  <c r="F184" i="50"/>
  <c r="U184" i="50" s="1"/>
  <c r="N184" i="50"/>
  <c r="G184" i="50"/>
  <c r="H184" i="50"/>
  <c r="B184" i="50"/>
  <c r="R184" i="50" s="1"/>
  <c r="L184" i="50"/>
  <c r="K184" i="50"/>
  <c r="I184" i="50"/>
  <c r="A184" i="50"/>
  <c r="J184" i="50"/>
  <c r="I174" i="32"/>
  <c r="L174" i="32"/>
  <c r="M174" i="32"/>
  <c r="H174" i="32"/>
  <c r="J174" i="32"/>
  <c r="K174" i="32"/>
  <c r="N174" i="32"/>
  <c r="G174" i="32"/>
  <c r="F174" i="32"/>
  <c r="U174" i="32" s="1"/>
  <c r="J244" i="57"/>
  <c r="E244" i="57"/>
  <c r="H244" i="57"/>
  <c r="K244" i="57"/>
  <c r="D244" i="57"/>
  <c r="C244" i="57"/>
  <c r="F244" i="57"/>
  <c r="G244" i="57"/>
  <c r="I244" i="57"/>
  <c r="AN243" i="55" a="1"/>
  <c r="AN243" i="55" s="1"/>
  <c r="B245" i="57" s="1"/>
  <c r="AR229" i="67" a="1"/>
  <c r="AR229" i="67" s="1"/>
  <c r="B230" i="69"/>
  <c r="L230" i="69" s="1"/>
  <c r="C229" i="69"/>
  <c r="P229" i="69" s="1"/>
  <c r="R227" i="69"/>
  <c r="S227" i="69" s="1"/>
  <c r="Y227" i="69" s="1"/>
  <c r="AE227" i="69"/>
  <c r="D228" i="69"/>
  <c r="E228" i="69" s="1"/>
  <c r="F228" i="69" s="1"/>
  <c r="G228" i="69" s="1"/>
  <c r="H228" i="69" s="1"/>
  <c r="I228" i="69" s="1"/>
  <c r="J228" i="69" s="1"/>
  <c r="K228" i="69" s="1"/>
  <c r="M228" i="69" s="1"/>
  <c r="AL174" i="11" a="1"/>
  <c r="AL174" i="11" s="1"/>
  <c r="E175" i="32" s="1"/>
  <c r="AP184" i="59" a="1"/>
  <c r="AP184" i="59" s="1"/>
  <c r="E185" i="50" s="1"/>
  <c r="AQ74" i="59" a="1"/>
  <c r="AQ74" i="59" s="1"/>
  <c r="AM59" i="11" a="1"/>
  <c r="AM59" i="11" s="1"/>
  <c r="AD173" i="32" l="1"/>
  <c r="AG173" i="32" s="1"/>
  <c r="AH173" i="32" s="1"/>
  <c r="AD183" i="50"/>
  <c r="AG183" i="50" s="1"/>
  <c r="AG244" i="57"/>
  <c r="X242" i="57"/>
  <c r="AB242" i="57" s="1"/>
  <c r="AF241" i="57"/>
  <c r="AA241" i="57"/>
  <c r="AD243" i="57"/>
  <c r="AE243" i="57"/>
  <c r="M245" i="53"/>
  <c r="AC245" i="53" s="1"/>
  <c r="O245" i="53"/>
  <c r="AP229" i="69"/>
  <c r="N229" i="69"/>
  <c r="U229" i="69" s="1"/>
  <c r="AQ243" i="57"/>
  <c r="AC243" i="57"/>
  <c r="AJ243" i="57"/>
  <c r="R243" i="57"/>
  <c r="Q243" i="57"/>
  <c r="T243" i="57" s="1"/>
  <c r="M244" i="57"/>
  <c r="AK244" i="57" s="1"/>
  <c r="Q184" i="50"/>
  <c r="P184" i="50" s="1"/>
  <c r="Q174" i="32"/>
  <c r="P174" i="32" s="1"/>
  <c r="N245" i="53"/>
  <c r="T175" i="32"/>
  <c r="O175" i="32"/>
  <c r="O185" i="50"/>
  <c r="T185" i="50"/>
  <c r="AA243" i="53"/>
  <c r="AB243" i="53"/>
  <c r="AP181" i="50"/>
  <c r="AM174" i="32"/>
  <c r="AJ183" i="50"/>
  <c r="C183" i="50"/>
  <c r="S184" i="50"/>
  <c r="Z184" i="50" s="1"/>
  <c r="AJ173" i="32"/>
  <c r="W173" i="32"/>
  <c r="X173" i="32" s="1"/>
  <c r="C173" i="32"/>
  <c r="S174" i="32"/>
  <c r="AD174" i="32" s="1"/>
  <c r="W183" i="50"/>
  <c r="X182" i="50"/>
  <c r="V183" i="50"/>
  <c r="V173" i="32"/>
  <c r="AF228" i="69"/>
  <c r="Q228" i="69"/>
  <c r="O245" i="57"/>
  <c r="P245" i="57"/>
  <c r="AH182" i="50"/>
  <c r="AI182" i="50" s="1"/>
  <c r="AB227" i="69"/>
  <c r="AG227" i="69"/>
  <c r="O230" i="69"/>
  <c r="AO229" i="69"/>
  <c r="AK185" i="50"/>
  <c r="AE244" i="53"/>
  <c r="AF243" i="53"/>
  <c r="AK175" i="32"/>
  <c r="AM184" i="50"/>
  <c r="AL172" i="32"/>
  <c r="AI171" i="32"/>
  <c r="AN171" i="32" s="1"/>
  <c r="R244" i="53"/>
  <c r="X244" i="53" s="1"/>
  <c r="AL182" i="50"/>
  <c r="AY228" i="69"/>
  <c r="L245" i="57"/>
  <c r="AH244" i="53"/>
  <c r="AT244" i="53"/>
  <c r="AG244" i="53"/>
  <c r="Q244" i="53"/>
  <c r="N245" i="57"/>
  <c r="AD244" i="53"/>
  <c r="I245" i="53"/>
  <c r="AH228" i="69"/>
  <c r="D245" i="53"/>
  <c r="L245" i="53"/>
  <c r="C245" i="53"/>
  <c r="H245" i="53"/>
  <c r="E245" i="53"/>
  <c r="G245" i="53"/>
  <c r="F245" i="53"/>
  <c r="AK244" i="52" a="1"/>
  <c r="AK244" i="52" s="1"/>
  <c r="B246" i="53" s="1"/>
  <c r="J245" i="53"/>
  <c r="P245" i="53"/>
  <c r="K245" i="53"/>
  <c r="A175" i="32"/>
  <c r="B175" i="32"/>
  <c r="R175" i="32" s="1"/>
  <c r="G185" i="50"/>
  <c r="I185" i="50"/>
  <c r="H185" i="50"/>
  <c r="K185" i="50"/>
  <c r="M185" i="50"/>
  <c r="J185" i="50"/>
  <c r="B185" i="50"/>
  <c r="R185" i="50" s="1"/>
  <c r="A185" i="50"/>
  <c r="N185" i="50"/>
  <c r="L185" i="50"/>
  <c r="F185" i="50"/>
  <c r="U185" i="50" s="1"/>
  <c r="G175" i="32"/>
  <c r="J175" i="32"/>
  <c r="K175" i="32"/>
  <c r="F175" i="32"/>
  <c r="U175" i="32" s="1"/>
  <c r="N175" i="32"/>
  <c r="H175" i="32"/>
  <c r="I175" i="32"/>
  <c r="L175" i="32"/>
  <c r="M175" i="32"/>
  <c r="I245" i="57"/>
  <c r="D245" i="57"/>
  <c r="E245" i="57"/>
  <c r="H245" i="57"/>
  <c r="C245" i="57"/>
  <c r="K245" i="57"/>
  <c r="G245" i="57"/>
  <c r="J245" i="57"/>
  <c r="F245" i="57"/>
  <c r="AN244" i="55" a="1"/>
  <c r="AN244" i="55" s="1"/>
  <c r="B246" i="57" s="1"/>
  <c r="AR230" i="67" a="1"/>
  <c r="AR230" i="67" s="1"/>
  <c r="B231" i="69"/>
  <c r="L231" i="69" s="1"/>
  <c r="D229" i="69"/>
  <c r="E229" i="69" s="1"/>
  <c r="F229" i="69" s="1"/>
  <c r="G229" i="69" s="1"/>
  <c r="H229" i="69" s="1"/>
  <c r="I229" i="69" s="1"/>
  <c r="J229" i="69" s="1"/>
  <c r="K229" i="69" s="1"/>
  <c r="M229" i="69" s="1"/>
  <c r="AE228" i="69"/>
  <c r="R228" i="69"/>
  <c r="S228" i="69" s="1"/>
  <c r="Y228" i="69" s="1"/>
  <c r="C230" i="69"/>
  <c r="P230" i="69" s="1"/>
  <c r="AL175" i="11" a="1"/>
  <c r="AL175" i="11" s="1"/>
  <c r="E176" i="32" s="1"/>
  <c r="AP185" i="59" a="1"/>
  <c r="AP185" i="59" s="1"/>
  <c r="E186" i="50" s="1"/>
  <c r="AQ75" i="59" a="1"/>
  <c r="AQ75" i="59" s="1"/>
  <c r="AM60" i="11" a="1"/>
  <c r="AM60" i="11" s="1"/>
  <c r="X243" i="57" l="1"/>
  <c r="AB243" i="57" s="1"/>
  <c r="AD184" i="50"/>
  <c r="AG184" i="50" s="1"/>
  <c r="AA242" i="57"/>
  <c r="AG245" i="57"/>
  <c r="AF242" i="57"/>
  <c r="AD244" i="57"/>
  <c r="M246" i="53"/>
  <c r="AC246" i="53" s="1"/>
  <c r="O246" i="53"/>
  <c r="AP230" i="69"/>
  <c r="N230" i="69"/>
  <c r="U230" i="69" s="1"/>
  <c r="AE244" i="57"/>
  <c r="AJ244" i="57"/>
  <c r="R244" i="57"/>
  <c r="Q244" i="57"/>
  <c r="T244" i="57" s="1"/>
  <c r="AQ244" i="57"/>
  <c r="AC244" i="57"/>
  <c r="M245" i="57"/>
  <c r="AK245" i="57" s="1"/>
  <c r="Q185" i="50"/>
  <c r="P185" i="50" s="1"/>
  <c r="Q175" i="32"/>
  <c r="P175" i="32" s="1"/>
  <c r="N246" i="53"/>
  <c r="T176" i="32"/>
  <c r="O176" i="32"/>
  <c r="T186" i="50"/>
  <c r="O186" i="50"/>
  <c r="AA244" i="53"/>
  <c r="AB244" i="53"/>
  <c r="AP182" i="50"/>
  <c r="C174" i="32"/>
  <c r="Z174" i="32"/>
  <c r="AM175" i="32"/>
  <c r="C184" i="50"/>
  <c r="AJ184" i="50"/>
  <c r="S185" i="50"/>
  <c r="Z185" i="50" s="1"/>
  <c r="W174" i="32"/>
  <c r="X174" i="32" s="1"/>
  <c r="AJ174" i="32"/>
  <c r="S175" i="32"/>
  <c r="Z175" i="32" s="1"/>
  <c r="W184" i="50"/>
  <c r="X183" i="50"/>
  <c r="V184" i="50"/>
  <c r="V174" i="32"/>
  <c r="AF229" i="69"/>
  <c r="Q229" i="69"/>
  <c r="O246" i="57"/>
  <c r="P246" i="57"/>
  <c r="AC227" i="69"/>
  <c r="AD227" i="69" s="1"/>
  <c r="AH183" i="50"/>
  <c r="AI183" i="50" s="1"/>
  <c r="AB228" i="69"/>
  <c r="AG228" i="69"/>
  <c r="O231" i="69"/>
  <c r="AO230" i="69"/>
  <c r="AK186" i="50"/>
  <c r="AF244" i="53"/>
  <c r="AE245" i="53"/>
  <c r="AK176" i="32"/>
  <c r="AG174" i="32"/>
  <c r="AH174" i="32" s="1"/>
  <c r="AM185" i="50"/>
  <c r="AL173" i="32"/>
  <c r="AI172" i="32"/>
  <c r="AN172" i="32" s="1"/>
  <c r="R245" i="53"/>
  <c r="X245" i="53" s="1"/>
  <c r="AL183" i="50"/>
  <c r="AY229" i="69"/>
  <c r="L246" i="57"/>
  <c r="AH245" i="53"/>
  <c r="AT245" i="53"/>
  <c r="AG245" i="53"/>
  <c r="N246" i="57"/>
  <c r="L246" i="53"/>
  <c r="AH229" i="69"/>
  <c r="Q245" i="53"/>
  <c r="AD245" i="53"/>
  <c r="I246" i="53"/>
  <c r="J246" i="53"/>
  <c r="F246" i="53"/>
  <c r="P246" i="53"/>
  <c r="G246" i="53"/>
  <c r="D246" i="53"/>
  <c r="C246" i="53"/>
  <c r="K246" i="53"/>
  <c r="AK245" i="52" a="1"/>
  <c r="AK245" i="52" s="1"/>
  <c r="B247" i="53" s="1"/>
  <c r="E246" i="53"/>
  <c r="H246" i="53"/>
  <c r="A176" i="32"/>
  <c r="B176" i="32"/>
  <c r="R176" i="32" s="1"/>
  <c r="K186" i="50"/>
  <c r="B186" i="50"/>
  <c r="R186" i="50" s="1"/>
  <c r="A186" i="50"/>
  <c r="N186" i="50"/>
  <c r="G186" i="50"/>
  <c r="L186" i="50"/>
  <c r="F186" i="50"/>
  <c r="U186" i="50" s="1"/>
  <c r="J186" i="50"/>
  <c r="M186" i="50"/>
  <c r="H186" i="50"/>
  <c r="I186" i="50"/>
  <c r="M176" i="32"/>
  <c r="H176" i="32"/>
  <c r="I176" i="32"/>
  <c r="L176" i="32"/>
  <c r="F176" i="32"/>
  <c r="U176" i="32" s="1"/>
  <c r="G176" i="32"/>
  <c r="J176" i="32"/>
  <c r="K176" i="32"/>
  <c r="N176" i="32"/>
  <c r="C246" i="57"/>
  <c r="K246" i="57"/>
  <c r="J246" i="57"/>
  <c r="H246" i="57"/>
  <c r="D246" i="57"/>
  <c r="F246" i="57"/>
  <c r="I246" i="57"/>
  <c r="E246" i="57"/>
  <c r="G246" i="57"/>
  <c r="AN245" i="55" a="1"/>
  <c r="AN245" i="55" s="1"/>
  <c r="B247" i="57" s="1"/>
  <c r="C231" i="69"/>
  <c r="P231" i="69" s="1"/>
  <c r="R229" i="69"/>
  <c r="S229" i="69" s="1"/>
  <c r="Y229" i="69" s="1"/>
  <c r="AE229" i="69"/>
  <c r="D230" i="69"/>
  <c r="E230" i="69" s="1"/>
  <c r="F230" i="69" s="1"/>
  <c r="G230" i="69" s="1"/>
  <c r="H230" i="69" s="1"/>
  <c r="I230" i="69" s="1"/>
  <c r="J230" i="69" s="1"/>
  <c r="K230" i="69" s="1"/>
  <c r="M230" i="69" s="1"/>
  <c r="AR231" i="67" a="1"/>
  <c r="AR231" i="67" s="1"/>
  <c r="B232" i="69"/>
  <c r="L232" i="69" s="1"/>
  <c r="AL176" i="11" a="1"/>
  <c r="AL176" i="11" s="1"/>
  <c r="E177" i="32" s="1"/>
  <c r="AP186" i="59" a="1"/>
  <c r="AP186" i="59" s="1"/>
  <c r="E187" i="50" s="1"/>
  <c r="AQ76" i="59" a="1"/>
  <c r="AQ76" i="59" s="1"/>
  <c r="AM61" i="11" a="1"/>
  <c r="AM61" i="11" s="1"/>
  <c r="AD175" i="32" l="1"/>
  <c r="AG175" i="32" s="1"/>
  <c r="AH175" i="32" s="1"/>
  <c r="AD185" i="50"/>
  <c r="AG185" i="50" s="1"/>
  <c r="X244" i="57"/>
  <c r="AA244" i="57" s="1"/>
  <c r="AG246" i="57"/>
  <c r="AA243" i="57"/>
  <c r="AF243" i="57"/>
  <c r="M247" i="53"/>
  <c r="AC247" i="53" s="1"/>
  <c r="O247" i="53"/>
  <c r="AP231" i="69"/>
  <c r="N231" i="69"/>
  <c r="U231" i="69" s="1"/>
  <c r="AJ245" i="57"/>
  <c r="AD245" i="57"/>
  <c r="R245" i="57"/>
  <c r="AE245" i="57"/>
  <c r="Q245" i="57"/>
  <c r="T245" i="57" s="1"/>
  <c r="AQ245" i="57"/>
  <c r="AC245" i="57"/>
  <c r="M246" i="57"/>
  <c r="AK246" i="57" s="1"/>
  <c r="Q186" i="50"/>
  <c r="P186" i="50" s="1"/>
  <c r="Q176" i="32"/>
  <c r="P176" i="32" s="1"/>
  <c r="N247" i="53"/>
  <c r="T177" i="32"/>
  <c r="O177" i="32"/>
  <c r="T187" i="50"/>
  <c r="O187" i="50"/>
  <c r="AA245" i="53"/>
  <c r="AB245" i="53"/>
  <c r="AP183" i="50"/>
  <c r="AM176" i="32"/>
  <c r="AJ185" i="50"/>
  <c r="C185" i="50"/>
  <c r="S186" i="50"/>
  <c r="Z186" i="50" s="1"/>
  <c r="AJ175" i="32"/>
  <c r="W175" i="32"/>
  <c r="X175" i="32" s="1"/>
  <c r="C175" i="32"/>
  <c r="S176" i="32"/>
  <c r="AD176" i="32" s="1"/>
  <c r="W185" i="50"/>
  <c r="X184" i="50"/>
  <c r="V185" i="50"/>
  <c r="V175" i="32"/>
  <c r="AF230" i="69"/>
  <c r="Q230" i="69"/>
  <c r="O247" i="57"/>
  <c r="P247" i="57"/>
  <c r="AC228" i="69"/>
  <c r="AD228" i="69" s="1"/>
  <c r="AH184" i="50"/>
  <c r="AI184" i="50" s="1"/>
  <c r="AB229" i="69"/>
  <c r="AG229" i="69"/>
  <c r="O232" i="69"/>
  <c r="AO231" i="69"/>
  <c r="AK187" i="50"/>
  <c r="AE246" i="53"/>
  <c r="AF245" i="53"/>
  <c r="AK177" i="32"/>
  <c r="AM186" i="50"/>
  <c r="AL174" i="32"/>
  <c r="R246" i="53"/>
  <c r="X246" i="53" s="1"/>
  <c r="AL184" i="50"/>
  <c r="AI173" i="32"/>
  <c r="AN173" i="32" s="1"/>
  <c r="AY230" i="69"/>
  <c r="L247" i="57"/>
  <c r="AH246" i="53"/>
  <c r="AT246" i="53"/>
  <c r="AG246" i="53"/>
  <c r="N247" i="57"/>
  <c r="K247" i="53"/>
  <c r="AH230" i="69"/>
  <c r="Q246" i="53"/>
  <c r="AD246" i="53"/>
  <c r="G247" i="53"/>
  <c r="L247" i="53"/>
  <c r="H247" i="53"/>
  <c r="E247" i="53"/>
  <c r="P247" i="53"/>
  <c r="F247" i="53"/>
  <c r="C247" i="53"/>
  <c r="I247" i="53"/>
  <c r="AK246" i="52" a="1"/>
  <c r="AK246" i="52" s="1"/>
  <c r="B248" i="53" s="1"/>
  <c r="J247" i="53"/>
  <c r="D247" i="53"/>
  <c r="A177" i="32"/>
  <c r="B177" i="32"/>
  <c r="R177" i="32" s="1"/>
  <c r="I187" i="50"/>
  <c r="G187" i="50"/>
  <c r="M187" i="50"/>
  <c r="N187" i="50"/>
  <c r="H187" i="50"/>
  <c r="J187" i="50"/>
  <c r="A187" i="50"/>
  <c r="B187" i="50"/>
  <c r="R187" i="50" s="1"/>
  <c r="F187" i="50"/>
  <c r="U187" i="50" s="1"/>
  <c r="L187" i="50"/>
  <c r="K187" i="50"/>
  <c r="K177" i="32"/>
  <c r="F177" i="32"/>
  <c r="U177" i="32" s="1"/>
  <c r="N177" i="32"/>
  <c r="G177" i="32"/>
  <c r="J177" i="32"/>
  <c r="L177" i="32"/>
  <c r="M177" i="32"/>
  <c r="H177" i="32"/>
  <c r="I177" i="32"/>
  <c r="J247" i="57"/>
  <c r="E247" i="57"/>
  <c r="F247" i="57"/>
  <c r="I247" i="57"/>
  <c r="G247" i="57"/>
  <c r="K247" i="57"/>
  <c r="D247" i="57"/>
  <c r="H247" i="57"/>
  <c r="C247" i="57"/>
  <c r="AN246" i="55" a="1"/>
  <c r="AN246" i="55" s="1"/>
  <c r="B248" i="57" s="1"/>
  <c r="AR232" i="67" a="1"/>
  <c r="AR232" i="67" s="1"/>
  <c r="B233" i="69"/>
  <c r="L233" i="69" s="1"/>
  <c r="D231" i="69"/>
  <c r="E231" i="69" s="1"/>
  <c r="F231" i="69" s="1"/>
  <c r="G231" i="69" s="1"/>
  <c r="H231" i="69" s="1"/>
  <c r="I231" i="69" s="1"/>
  <c r="J231" i="69" s="1"/>
  <c r="K231" i="69" s="1"/>
  <c r="M231" i="69" s="1"/>
  <c r="C232" i="69"/>
  <c r="P232" i="69" s="1"/>
  <c r="AE230" i="69"/>
  <c r="R230" i="69"/>
  <c r="S230" i="69" s="1"/>
  <c r="Y230" i="69" s="1"/>
  <c r="AL177" i="11" a="1"/>
  <c r="AL177" i="11" s="1"/>
  <c r="E178" i="32" s="1"/>
  <c r="AP187" i="59" a="1"/>
  <c r="AP187" i="59" s="1"/>
  <c r="E188" i="50" s="1"/>
  <c r="AQ77" i="59" a="1"/>
  <c r="AQ77" i="59" s="1"/>
  <c r="AM62" i="11" a="1"/>
  <c r="AM62" i="11" s="1"/>
  <c r="AD186" i="50" l="1"/>
  <c r="AG186" i="50" s="1"/>
  <c r="X245" i="57"/>
  <c r="AB245" i="57" s="1"/>
  <c r="AG247" i="57"/>
  <c r="Q246" i="57"/>
  <c r="T246" i="57" s="1"/>
  <c r="AF244" i="57"/>
  <c r="M248" i="53"/>
  <c r="AC248" i="53" s="1"/>
  <c r="O248" i="53"/>
  <c r="AP232" i="69"/>
  <c r="N232" i="69"/>
  <c r="U232" i="69" s="1"/>
  <c r="AB244" i="57"/>
  <c r="AJ246" i="57"/>
  <c r="AD246" i="57"/>
  <c r="R246" i="57"/>
  <c r="AE246" i="57"/>
  <c r="AQ246" i="57"/>
  <c r="AC246" i="57"/>
  <c r="M247" i="57"/>
  <c r="AK247" i="57" s="1"/>
  <c r="Q187" i="50"/>
  <c r="P187" i="50" s="1"/>
  <c r="Q177" i="32"/>
  <c r="P177" i="32" s="1"/>
  <c r="N248" i="53"/>
  <c r="T178" i="32"/>
  <c r="O178" i="32"/>
  <c r="T188" i="50"/>
  <c r="O188" i="50"/>
  <c r="AA246" i="53"/>
  <c r="AB246" i="53"/>
  <c r="AP184" i="50"/>
  <c r="C176" i="32"/>
  <c r="Z176" i="32"/>
  <c r="AM177" i="32"/>
  <c r="C186" i="50"/>
  <c r="AJ186" i="50"/>
  <c r="S187" i="50"/>
  <c r="Z187" i="50" s="1"/>
  <c r="W176" i="32"/>
  <c r="X176" i="32" s="1"/>
  <c r="S177" i="32"/>
  <c r="Z177" i="32" s="1"/>
  <c r="AJ176" i="32"/>
  <c r="W186" i="50"/>
  <c r="X185" i="50"/>
  <c r="V186" i="50"/>
  <c r="V176" i="32"/>
  <c r="AF231" i="69"/>
  <c r="Q231" i="69"/>
  <c r="O248" i="57"/>
  <c r="P248" i="57"/>
  <c r="AC229" i="69"/>
  <c r="AD229" i="69" s="1"/>
  <c r="AH185" i="50"/>
  <c r="AI185" i="50" s="1"/>
  <c r="AB230" i="69"/>
  <c r="AG230" i="69"/>
  <c r="O233" i="69"/>
  <c r="AO232" i="69"/>
  <c r="AK188" i="50"/>
  <c r="AE247" i="53"/>
  <c r="AF246" i="53"/>
  <c r="AK178" i="32"/>
  <c r="AG176" i="32"/>
  <c r="AH176" i="32" s="1"/>
  <c r="AM187" i="50"/>
  <c r="AL175" i="32"/>
  <c r="R247" i="53"/>
  <c r="X247" i="53" s="1"/>
  <c r="AL185" i="50"/>
  <c r="AI174" i="32"/>
  <c r="AN174" i="32" s="1"/>
  <c r="AY231" i="69"/>
  <c r="L248" i="57"/>
  <c r="AG247" i="53"/>
  <c r="AH247" i="53"/>
  <c r="AT247" i="53"/>
  <c r="N248" i="57"/>
  <c r="D248" i="53"/>
  <c r="AH231" i="69"/>
  <c r="AD247" i="53"/>
  <c r="Q247" i="53"/>
  <c r="L248" i="53"/>
  <c r="E248" i="53"/>
  <c r="C248" i="53"/>
  <c r="G248" i="53"/>
  <c r="AK247" i="52" a="1"/>
  <c r="AK247" i="52" s="1"/>
  <c r="B249" i="53" s="1"/>
  <c r="F248" i="53"/>
  <c r="K248" i="53"/>
  <c r="H248" i="53"/>
  <c r="J248" i="53"/>
  <c r="P248" i="53"/>
  <c r="I248" i="53"/>
  <c r="A178" i="32"/>
  <c r="B178" i="32"/>
  <c r="R178" i="32" s="1"/>
  <c r="I188" i="50"/>
  <c r="B188" i="50"/>
  <c r="R188" i="50" s="1"/>
  <c r="F188" i="50"/>
  <c r="U188" i="50" s="1"/>
  <c r="K188" i="50"/>
  <c r="G188" i="50"/>
  <c r="N188" i="50"/>
  <c r="H188" i="50"/>
  <c r="L188" i="50"/>
  <c r="J188" i="50"/>
  <c r="M188" i="50"/>
  <c r="A188" i="50"/>
  <c r="I178" i="32"/>
  <c r="L178" i="32"/>
  <c r="M178" i="32"/>
  <c r="H178" i="32"/>
  <c r="F178" i="32"/>
  <c r="U178" i="32" s="1"/>
  <c r="G178" i="32"/>
  <c r="J178" i="32"/>
  <c r="K178" i="32"/>
  <c r="N178" i="32"/>
  <c r="D248" i="57"/>
  <c r="J248" i="57"/>
  <c r="G248" i="57"/>
  <c r="H248" i="57"/>
  <c r="C248" i="57"/>
  <c r="I248" i="57"/>
  <c r="E248" i="57"/>
  <c r="K248" i="57"/>
  <c r="F248" i="57"/>
  <c r="AN247" i="55" a="1"/>
  <c r="AN247" i="55" s="1"/>
  <c r="B249" i="57" s="1"/>
  <c r="C233" i="69"/>
  <c r="P233" i="69" s="1"/>
  <c r="D232" i="69"/>
  <c r="E232" i="69" s="1"/>
  <c r="F232" i="69" s="1"/>
  <c r="G232" i="69" s="1"/>
  <c r="H232" i="69" s="1"/>
  <c r="I232" i="69" s="1"/>
  <c r="J232" i="69" s="1"/>
  <c r="K232" i="69" s="1"/>
  <c r="M232" i="69" s="1"/>
  <c r="AE231" i="69"/>
  <c r="R231" i="69"/>
  <c r="S231" i="69" s="1"/>
  <c r="Y231" i="69" s="1"/>
  <c r="AR233" i="67" a="1"/>
  <c r="AR233" i="67" s="1"/>
  <c r="B234" i="69"/>
  <c r="L234" i="69" s="1"/>
  <c r="AL178" i="11" a="1"/>
  <c r="AL178" i="11" s="1"/>
  <c r="E179" i="32" s="1"/>
  <c r="AP188" i="59" a="1"/>
  <c r="AP188" i="59" s="1"/>
  <c r="E189" i="50" s="1"/>
  <c r="AQ78" i="59" a="1"/>
  <c r="AQ78" i="59" s="1"/>
  <c r="AM63" i="11" a="1"/>
  <c r="AM63" i="11" s="1"/>
  <c r="AD177" i="32" l="1"/>
  <c r="AG177" i="32" s="1"/>
  <c r="AH177" i="32" s="1"/>
  <c r="AD187" i="50"/>
  <c r="AG187" i="50" s="1"/>
  <c r="X246" i="57"/>
  <c r="AB246" i="57" s="1"/>
  <c r="AG248" i="57"/>
  <c r="AQ247" i="57"/>
  <c r="AA245" i="57"/>
  <c r="Q247" i="57"/>
  <c r="T247" i="57" s="1"/>
  <c r="M249" i="53"/>
  <c r="AC249" i="53" s="1"/>
  <c r="O249" i="53"/>
  <c r="AP233" i="69"/>
  <c r="N233" i="69"/>
  <c r="U233" i="69" s="1"/>
  <c r="AE247" i="57"/>
  <c r="AF245" i="57"/>
  <c r="R247" i="57"/>
  <c r="AD247" i="57"/>
  <c r="AJ247" i="57"/>
  <c r="AC247" i="57"/>
  <c r="M248" i="57"/>
  <c r="AK248" i="57" s="1"/>
  <c r="Q188" i="50"/>
  <c r="P188" i="50" s="1"/>
  <c r="Q178" i="32"/>
  <c r="P178" i="32" s="1"/>
  <c r="N249" i="53"/>
  <c r="T179" i="32"/>
  <c r="O179" i="32"/>
  <c r="T189" i="50"/>
  <c r="O189" i="50"/>
  <c r="AA247" i="53"/>
  <c r="AB247" i="53"/>
  <c r="AP185" i="50"/>
  <c r="AM178" i="32"/>
  <c r="AJ187" i="50"/>
  <c r="C187" i="50"/>
  <c r="S188" i="50"/>
  <c r="Z188" i="50" s="1"/>
  <c r="W177" i="32"/>
  <c r="X177" i="32" s="1"/>
  <c r="C177" i="32"/>
  <c r="AJ177" i="32"/>
  <c r="S178" i="32"/>
  <c r="Z178" i="32" s="1"/>
  <c r="W187" i="50"/>
  <c r="X186" i="50"/>
  <c r="V187" i="50"/>
  <c r="V177" i="32"/>
  <c r="AF232" i="69"/>
  <c r="Q232" i="69"/>
  <c r="O249" i="57"/>
  <c r="P249" i="57"/>
  <c r="AC230" i="69"/>
  <c r="AD230" i="69" s="1"/>
  <c r="AH186" i="50"/>
  <c r="AI186" i="50" s="1"/>
  <c r="AB231" i="69"/>
  <c r="AG231" i="69"/>
  <c r="O234" i="69"/>
  <c r="AO233" i="69"/>
  <c r="AK189" i="50"/>
  <c r="AF247" i="53"/>
  <c r="AE248" i="53"/>
  <c r="AK179" i="32"/>
  <c r="AM188" i="50"/>
  <c r="AL176" i="32"/>
  <c r="AI175" i="32"/>
  <c r="AN175" i="32" s="1"/>
  <c r="R248" i="53"/>
  <c r="X248" i="53" s="1"/>
  <c r="AL186" i="50"/>
  <c r="AY232" i="69"/>
  <c r="L249" i="57"/>
  <c r="AH248" i="53"/>
  <c r="AT248" i="53"/>
  <c r="AG248" i="53"/>
  <c r="N249" i="57"/>
  <c r="K249" i="53"/>
  <c r="AH232" i="69"/>
  <c r="AD248" i="53"/>
  <c r="Q248" i="53"/>
  <c r="E249" i="53"/>
  <c r="C249" i="53"/>
  <c r="D249" i="53"/>
  <c r="P249" i="53"/>
  <c r="F249" i="53"/>
  <c r="AK248" i="52" a="1"/>
  <c r="AK248" i="52" s="1"/>
  <c r="B250" i="53" s="1"/>
  <c r="G249" i="53"/>
  <c r="H249" i="53"/>
  <c r="I249" i="53"/>
  <c r="J249" i="53"/>
  <c r="L249" i="53"/>
  <c r="A179" i="32"/>
  <c r="B179" i="32"/>
  <c r="R179" i="32" s="1"/>
  <c r="J189" i="50"/>
  <c r="L189" i="50"/>
  <c r="A189" i="50"/>
  <c r="N189" i="50"/>
  <c r="H189" i="50"/>
  <c r="I189" i="50"/>
  <c r="G189" i="50"/>
  <c r="M189" i="50"/>
  <c r="K189" i="50"/>
  <c r="B189" i="50"/>
  <c r="R189" i="50" s="1"/>
  <c r="F189" i="50"/>
  <c r="U189" i="50" s="1"/>
  <c r="G179" i="32"/>
  <c r="J179" i="32"/>
  <c r="K179" i="32"/>
  <c r="F179" i="32"/>
  <c r="U179" i="32" s="1"/>
  <c r="N179" i="32"/>
  <c r="H179" i="32"/>
  <c r="I179" i="32"/>
  <c r="L179" i="32"/>
  <c r="M179" i="32"/>
  <c r="J249" i="57"/>
  <c r="I249" i="57"/>
  <c r="F249" i="57"/>
  <c r="E249" i="57"/>
  <c r="D249" i="57"/>
  <c r="C249" i="57"/>
  <c r="H249" i="57"/>
  <c r="K249" i="57"/>
  <c r="G249" i="57"/>
  <c r="AN248" i="55" a="1"/>
  <c r="AN248" i="55" s="1"/>
  <c r="B250" i="57" s="1"/>
  <c r="AR234" i="67" a="1"/>
  <c r="AR234" i="67" s="1"/>
  <c r="B235" i="69"/>
  <c r="L235" i="69" s="1"/>
  <c r="C234" i="69"/>
  <c r="P234" i="69" s="1"/>
  <c r="R232" i="69"/>
  <c r="S232" i="69" s="1"/>
  <c r="Y232" i="69" s="1"/>
  <c r="AE232" i="69"/>
  <c r="D233" i="69"/>
  <c r="E233" i="69" s="1"/>
  <c r="F233" i="69" s="1"/>
  <c r="G233" i="69" s="1"/>
  <c r="H233" i="69" s="1"/>
  <c r="I233" i="69" s="1"/>
  <c r="J233" i="69" s="1"/>
  <c r="K233" i="69" s="1"/>
  <c r="M233" i="69" s="1"/>
  <c r="AL179" i="11" a="1"/>
  <c r="AL179" i="11" s="1"/>
  <c r="E180" i="32" s="1"/>
  <c r="AP189" i="59" a="1"/>
  <c r="AP189" i="59" s="1"/>
  <c r="E190" i="50" s="1"/>
  <c r="AQ79" i="59" a="1"/>
  <c r="AQ79" i="59" s="1"/>
  <c r="AM64" i="11" a="1"/>
  <c r="AM64" i="11" s="1"/>
  <c r="AD178" i="32" l="1"/>
  <c r="AG178" i="32" s="1"/>
  <c r="AH178" i="32" s="1"/>
  <c r="AD188" i="50"/>
  <c r="AG188" i="50" s="1"/>
  <c r="X247" i="57"/>
  <c r="AA247" i="57" s="1"/>
  <c r="AG249" i="57"/>
  <c r="AF246" i="57"/>
  <c r="AA246" i="57"/>
  <c r="R248" i="57"/>
  <c r="Q248" i="57"/>
  <c r="T248" i="57" s="1"/>
  <c r="M250" i="53"/>
  <c r="AC250" i="53" s="1"/>
  <c r="O250" i="53"/>
  <c r="AP234" i="69"/>
  <c r="N234" i="69"/>
  <c r="U234" i="69" s="1"/>
  <c r="AQ248" i="57"/>
  <c r="AE248" i="57"/>
  <c r="AD248" i="57"/>
  <c r="AJ248" i="57"/>
  <c r="AC248" i="57"/>
  <c r="M249" i="57"/>
  <c r="AK249" i="57" s="1"/>
  <c r="Q189" i="50"/>
  <c r="P189" i="50" s="1"/>
  <c r="Q179" i="32"/>
  <c r="P179" i="32" s="1"/>
  <c r="N250" i="53"/>
  <c r="T180" i="32"/>
  <c r="O180" i="32"/>
  <c r="T190" i="50"/>
  <c r="O190" i="50"/>
  <c r="AA248" i="53"/>
  <c r="AB248" i="53"/>
  <c r="AP186" i="50"/>
  <c r="AM179" i="32"/>
  <c r="C188" i="50"/>
  <c r="AJ188" i="50"/>
  <c r="S189" i="50"/>
  <c r="Z189" i="50" s="1"/>
  <c r="C178" i="32"/>
  <c r="AJ178" i="32"/>
  <c r="W178" i="32"/>
  <c r="X178" i="32" s="1"/>
  <c r="S179" i="32"/>
  <c r="Z179" i="32" s="1"/>
  <c r="W188" i="50"/>
  <c r="X187" i="50"/>
  <c r="V188" i="50"/>
  <c r="V178" i="32"/>
  <c r="AF233" i="69"/>
  <c r="Q233" i="69"/>
  <c r="O250" i="57"/>
  <c r="P250" i="57"/>
  <c r="AC231" i="69"/>
  <c r="AD231" i="69" s="1"/>
  <c r="AH187" i="50"/>
  <c r="AI187" i="50" s="1"/>
  <c r="AB232" i="69"/>
  <c r="AG232" i="69"/>
  <c r="AO234" i="69"/>
  <c r="O235" i="69"/>
  <c r="AK190" i="50"/>
  <c r="AE249" i="53"/>
  <c r="AF248" i="53"/>
  <c r="AK180" i="32"/>
  <c r="AM189" i="50"/>
  <c r="AL177" i="32"/>
  <c r="AI176" i="32"/>
  <c r="AN176" i="32" s="1"/>
  <c r="R249" i="53"/>
  <c r="X249" i="53" s="1"/>
  <c r="AL187" i="50"/>
  <c r="AY233" i="69"/>
  <c r="L250" i="57"/>
  <c r="AH249" i="53"/>
  <c r="AT249" i="53"/>
  <c r="AG249" i="53"/>
  <c r="N250" i="57"/>
  <c r="AH233" i="69"/>
  <c r="AD249" i="53"/>
  <c r="Q249" i="53"/>
  <c r="AK249" i="52" a="1"/>
  <c r="AK249" i="52" s="1"/>
  <c r="B251" i="53" s="1"/>
  <c r="J250" i="53"/>
  <c r="H250" i="53"/>
  <c r="I250" i="53"/>
  <c r="F250" i="53"/>
  <c r="E250" i="53"/>
  <c r="D250" i="53"/>
  <c r="L250" i="53"/>
  <c r="C250" i="53"/>
  <c r="G250" i="53"/>
  <c r="P250" i="53"/>
  <c r="K250" i="53"/>
  <c r="A180" i="32"/>
  <c r="B180" i="32"/>
  <c r="R180" i="32" s="1"/>
  <c r="A190" i="50"/>
  <c r="G190" i="50"/>
  <c r="H190" i="50"/>
  <c r="J190" i="50"/>
  <c r="I190" i="50"/>
  <c r="L190" i="50"/>
  <c r="N190" i="50"/>
  <c r="F190" i="50"/>
  <c r="U190" i="50" s="1"/>
  <c r="M190" i="50"/>
  <c r="B190" i="50"/>
  <c r="R190" i="50" s="1"/>
  <c r="K190" i="50"/>
  <c r="M180" i="32"/>
  <c r="H180" i="32"/>
  <c r="I180" i="32"/>
  <c r="L180" i="32"/>
  <c r="N180" i="32"/>
  <c r="F180" i="32"/>
  <c r="U180" i="32" s="1"/>
  <c r="G180" i="32"/>
  <c r="J180" i="32"/>
  <c r="K180" i="32"/>
  <c r="C250" i="57"/>
  <c r="H250" i="57"/>
  <c r="I250" i="57"/>
  <c r="E250" i="57"/>
  <c r="D250" i="57"/>
  <c r="K250" i="57"/>
  <c r="F250" i="57"/>
  <c r="G250" i="57"/>
  <c r="J250" i="57"/>
  <c r="AN249" i="55" a="1"/>
  <c r="AN249" i="55" s="1"/>
  <c r="B251" i="57" s="1"/>
  <c r="AR235" i="67" a="1"/>
  <c r="AR235" i="67" s="1"/>
  <c r="B236" i="69"/>
  <c r="L236" i="69" s="1"/>
  <c r="R233" i="69"/>
  <c r="S233" i="69" s="1"/>
  <c r="Y233" i="69" s="1"/>
  <c r="AE233" i="69"/>
  <c r="C235" i="69"/>
  <c r="P235" i="69" s="1"/>
  <c r="D234" i="69"/>
  <c r="E234" i="69" s="1"/>
  <c r="F234" i="69" s="1"/>
  <c r="G234" i="69" s="1"/>
  <c r="H234" i="69" s="1"/>
  <c r="I234" i="69" s="1"/>
  <c r="J234" i="69" s="1"/>
  <c r="K234" i="69" s="1"/>
  <c r="M234" i="69" s="1"/>
  <c r="AL180" i="11" a="1"/>
  <c r="AL180" i="11" s="1"/>
  <c r="E181" i="32" s="1"/>
  <c r="AP190" i="59" a="1"/>
  <c r="AP190" i="59" s="1"/>
  <c r="E191" i="50" s="1"/>
  <c r="AQ80" i="59" a="1"/>
  <c r="AQ80" i="59" s="1"/>
  <c r="AM65" i="11" a="1"/>
  <c r="AM65" i="11" s="1"/>
  <c r="AB233" i="69" l="1"/>
  <c r="AC233" i="69" s="1"/>
  <c r="AD233" i="69" s="1"/>
  <c r="AD179" i="32"/>
  <c r="AG179" i="32" s="1"/>
  <c r="AH179" i="32" s="1"/>
  <c r="AD189" i="50"/>
  <c r="AG189" i="50" s="1"/>
  <c r="X248" i="57"/>
  <c r="AB248" i="57" s="1"/>
  <c r="AG250" i="57"/>
  <c r="AB247" i="57"/>
  <c r="Q249" i="57"/>
  <c r="T249" i="57" s="1"/>
  <c r="AJ249" i="57"/>
  <c r="AD249" i="57"/>
  <c r="AF247" i="57"/>
  <c r="M251" i="53"/>
  <c r="AC251" i="53" s="1"/>
  <c r="O251" i="53"/>
  <c r="AP235" i="69"/>
  <c r="N235" i="69"/>
  <c r="U235" i="69" s="1"/>
  <c r="R249" i="57"/>
  <c r="AQ249" i="57"/>
  <c r="AC249" i="57"/>
  <c r="AE249" i="57"/>
  <c r="M250" i="57"/>
  <c r="AK250" i="57" s="1"/>
  <c r="Q190" i="50"/>
  <c r="P190" i="50" s="1"/>
  <c r="Q180" i="32"/>
  <c r="P180" i="32" s="1"/>
  <c r="N251" i="53"/>
  <c r="T181" i="32"/>
  <c r="O181" i="32"/>
  <c r="T191" i="50"/>
  <c r="O191" i="50"/>
  <c r="AA249" i="53"/>
  <c r="AB249" i="53"/>
  <c r="AP187" i="50"/>
  <c r="AM180" i="32"/>
  <c r="C189" i="50"/>
  <c r="AJ189" i="50"/>
  <c r="S190" i="50"/>
  <c r="Z190" i="50" s="1"/>
  <c r="C179" i="32"/>
  <c r="AJ179" i="32"/>
  <c r="W179" i="32"/>
  <c r="X179" i="32" s="1"/>
  <c r="S180" i="32"/>
  <c r="Z180" i="32" s="1"/>
  <c r="W189" i="50"/>
  <c r="X188" i="50"/>
  <c r="V189" i="50"/>
  <c r="V179" i="32"/>
  <c r="AF234" i="69"/>
  <c r="Q234" i="69"/>
  <c r="O251" i="57"/>
  <c r="P251" i="57"/>
  <c r="AC232" i="69"/>
  <c r="AD232" i="69" s="1"/>
  <c r="AH188" i="50"/>
  <c r="AI188" i="50" s="1"/>
  <c r="O236" i="69"/>
  <c r="AG233" i="69"/>
  <c r="AO235" i="69"/>
  <c r="AK191" i="50"/>
  <c r="AE250" i="53"/>
  <c r="AF249" i="53"/>
  <c r="AK181" i="32"/>
  <c r="AM190" i="50"/>
  <c r="AL178" i="32"/>
  <c r="AI177" i="32"/>
  <c r="AN177" i="32" s="1"/>
  <c r="R250" i="53"/>
  <c r="X250" i="53" s="1"/>
  <c r="AL188" i="50"/>
  <c r="AY234" i="69"/>
  <c r="L251" i="57"/>
  <c r="AG250" i="53"/>
  <c r="Q250" i="53"/>
  <c r="AH250" i="53"/>
  <c r="AT250" i="53"/>
  <c r="AD250" i="53"/>
  <c r="N251" i="57"/>
  <c r="G251" i="53"/>
  <c r="AH234" i="69"/>
  <c r="I251" i="53"/>
  <c r="J251" i="53"/>
  <c r="K251" i="53"/>
  <c r="P251" i="53"/>
  <c r="AK250" i="52" a="1"/>
  <c r="AK250" i="52" s="1"/>
  <c r="B252" i="53" s="1"/>
  <c r="H251" i="53"/>
  <c r="C251" i="53"/>
  <c r="E251" i="53"/>
  <c r="F251" i="53"/>
  <c r="L251" i="53"/>
  <c r="D251" i="53"/>
  <c r="A181" i="32"/>
  <c r="B181" i="32"/>
  <c r="R181" i="32" s="1"/>
  <c r="I191" i="50"/>
  <c r="A191" i="50"/>
  <c r="M191" i="50"/>
  <c r="K191" i="50"/>
  <c r="N191" i="50"/>
  <c r="H191" i="50"/>
  <c r="B191" i="50"/>
  <c r="R191" i="50" s="1"/>
  <c r="L191" i="50"/>
  <c r="F191" i="50"/>
  <c r="U191" i="50" s="1"/>
  <c r="G191" i="50"/>
  <c r="J191" i="50"/>
  <c r="K181" i="32"/>
  <c r="F181" i="32"/>
  <c r="U181" i="32" s="1"/>
  <c r="N181" i="32"/>
  <c r="G181" i="32"/>
  <c r="J181" i="32"/>
  <c r="H181" i="32"/>
  <c r="I181" i="32"/>
  <c r="L181" i="32"/>
  <c r="M181" i="32"/>
  <c r="H251" i="57"/>
  <c r="D251" i="57"/>
  <c r="E251" i="57"/>
  <c r="J251" i="57"/>
  <c r="F251" i="57"/>
  <c r="C251" i="57"/>
  <c r="K251" i="57"/>
  <c r="G251" i="57"/>
  <c r="I251" i="57"/>
  <c r="AN250" i="55" a="1"/>
  <c r="AN250" i="55" s="1"/>
  <c r="B252" i="57" s="1"/>
  <c r="AR236" i="67" a="1"/>
  <c r="AR236" i="67" s="1"/>
  <c r="B237" i="69"/>
  <c r="L237" i="69" s="1"/>
  <c r="D235" i="69"/>
  <c r="E235" i="69" s="1"/>
  <c r="F235" i="69" s="1"/>
  <c r="G235" i="69" s="1"/>
  <c r="H235" i="69" s="1"/>
  <c r="I235" i="69" s="1"/>
  <c r="J235" i="69" s="1"/>
  <c r="K235" i="69" s="1"/>
  <c r="M235" i="69" s="1"/>
  <c r="AE234" i="69"/>
  <c r="R234" i="69"/>
  <c r="S234" i="69" s="1"/>
  <c r="Y234" i="69" s="1"/>
  <c r="C236" i="69"/>
  <c r="P236" i="69" s="1"/>
  <c r="AL181" i="11" a="1"/>
  <c r="AL181" i="11" s="1"/>
  <c r="AP191" i="59" a="1"/>
  <c r="AP191" i="59" s="1"/>
  <c r="E192" i="50" s="1"/>
  <c r="AQ81" i="59" a="1"/>
  <c r="AQ81" i="59" s="1"/>
  <c r="AM66" i="11" a="1"/>
  <c r="AM66" i="11" s="1"/>
  <c r="AF248" i="57" l="1"/>
  <c r="AB234" i="69"/>
  <c r="AC234" i="69" s="1"/>
  <c r="AD234" i="69" s="1"/>
  <c r="AD180" i="32"/>
  <c r="AG180" i="32" s="1"/>
  <c r="AH180" i="32" s="1"/>
  <c r="AD190" i="50"/>
  <c r="AG190" i="50" s="1"/>
  <c r="AA248" i="57"/>
  <c r="AG251" i="57"/>
  <c r="X249" i="57"/>
  <c r="AB249" i="57" s="1"/>
  <c r="AQ250" i="57"/>
  <c r="M252" i="53"/>
  <c r="AC252" i="53" s="1"/>
  <c r="O252" i="53"/>
  <c r="AP236" i="69"/>
  <c r="N236" i="69"/>
  <c r="U236" i="69" s="1"/>
  <c r="AE250" i="57"/>
  <c r="AJ250" i="57"/>
  <c r="Q250" i="57"/>
  <c r="T250" i="57" s="1"/>
  <c r="AD250" i="57"/>
  <c r="AC250" i="57"/>
  <c r="R250" i="57"/>
  <c r="M251" i="57"/>
  <c r="AK251" i="57" s="1"/>
  <c r="Q191" i="50"/>
  <c r="P191" i="50" s="1"/>
  <c r="Q181" i="32"/>
  <c r="P181" i="32" s="1"/>
  <c r="N252" i="53"/>
  <c r="T192" i="50"/>
  <c r="O192" i="50"/>
  <c r="AA250" i="53"/>
  <c r="AB250" i="53"/>
  <c r="AP188" i="50"/>
  <c r="AM181" i="32"/>
  <c r="C190" i="50"/>
  <c r="AJ190" i="50"/>
  <c r="S191" i="50"/>
  <c r="Z191" i="50" s="1"/>
  <c r="C180" i="32"/>
  <c r="AJ180" i="32"/>
  <c r="S181" i="32"/>
  <c r="Z181" i="32" s="1"/>
  <c r="W190" i="50"/>
  <c r="W180" i="32"/>
  <c r="X180" i="32" s="1"/>
  <c r="X189" i="50"/>
  <c r="V190" i="50"/>
  <c r="AF235" i="69"/>
  <c r="Q235" i="69"/>
  <c r="O252" i="57"/>
  <c r="P252" i="57"/>
  <c r="AH189" i="50"/>
  <c r="AI189" i="50" s="1"/>
  <c r="O237" i="69"/>
  <c r="AO236" i="69"/>
  <c r="AG234" i="69"/>
  <c r="AK192" i="50"/>
  <c r="AE251" i="53"/>
  <c r="AF250" i="53"/>
  <c r="AM191" i="50"/>
  <c r="AL179" i="32"/>
  <c r="AI178" i="32"/>
  <c r="AN178" i="32" s="1"/>
  <c r="R251" i="53"/>
  <c r="X251" i="53" s="1"/>
  <c r="AL189" i="50"/>
  <c r="AY235" i="69"/>
  <c r="L252" i="57"/>
  <c r="AH251" i="53"/>
  <c r="AT251" i="53"/>
  <c r="AG251" i="53"/>
  <c r="N252" i="57"/>
  <c r="AH235" i="69"/>
  <c r="V180" i="32"/>
  <c r="AD251" i="53"/>
  <c r="Q251" i="53"/>
  <c r="F252" i="53"/>
  <c r="L252" i="53"/>
  <c r="H252" i="53"/>
  <c r="D252" i="53"/>
  <c r="E252" i="53"/>
  <c r="G252" i="53"/>
  <c r="K252" i="53"/>
  <c r="C252" i="53"/>
  <c r="J252" i="53"/>
  <c r="AK251" i="52" a="1"/>
  <c r="AK251" i="52" s="1"/>
  <c r="B253" i="53" s="1"/>
  <c r="P252" i="53"/>
  <c r="I252" i="53"/>
  <c r="G192" i="50"/>
  <c r="H192" i="50"/>
  <c r="M192" i="50"/>
  <c r="F192" i="50"/>
  <c r="U192" i="50" s="1"/>
  <c r="N192" i="50"/>
  <c r="L192" i="50"/>
  <c r="B192" i="50"/>
  <c r="R192" i="50" s="1"/>
  <c r="K192" i="50"/>
  <c r="I192" i="50"/>
  <c r="J192" i="50"/>
  <c r="A192" i="50"/>
  <c r="F252" i="57"/>
  <c r="J252" i="57"/>
  <c r="E252" i="57"/>
  <c r="H252" i="57"/>
  <c r="K252" i="57"/>
  <c r="G252" i="57"/>
  <c r="D252" i="57"/>
  <c r="I252" i="57"/>
  <c r="C252" i="57"/>
  <c r="E182" i="32"/>
  <c r="AN251" i="55" a="1"/>
  <c r="AN251" i="55" s="1"/>
  <c r="B253" i="57" s="1"/>
  <c r="C237" i="69"/>
  <c r="P237" i="69" s="1"/>
  <c r="R235" i="69"/>
  <c r="S235" i="69" s="1"/>
  <c r="AE235" i="69"/>
  <c r="D236" i="69"/>
  <c r="E236" i="69" s="1"/>
  <c r="F236" i="69" s="1"/>
  <c r="G236" i="69" s="1"/>
  <c r="H236" i="69" s="1"/>
  <c r="I236" i="69" s="1"/>
  <c r="J236" i="69" s="1"/>
  <c r="K236" i="69" s="1"/>
  <c r="M236" i="69" s="1"/>
  <c r="AR237" i="67" a="1"/>
  <c r="AR237" i="67" s="1"/>
  <c r="B238" i="69"/>
  <c r="L238" i="69" s="1"/>
  <c r="AL182" i="11" a="1"/>
  <c r="AL182" i="11" s="1"/>
  <c r="E183" i="32" s="1"/>
  <c r="AP192" i="59" a="1"/>
  <c r="AP192" i="59" s="1"/>
  <c r="E193" i="50" s="1"/>
  <c r="AQ82" i="59" a="1"/>
  <c r="AQ82" i="59" s="1"/>
  <c r="AM67" i="11" a="1"/>
  <c r="AM67" i="11" s="1"/>
  <c r="Y235" i="69" l="1"/>
  <c r="AB235" i="69" s="1"/>
  <c r="AC235" i="69" s="1"/>
  <c r="AD235" i="69" s="1"/>
  <c r="AD181" i="32"/>
  <c r="AG181" i="32" s="1"/>
  <c r="AH181" i="32" s="1"/>
  <c r="AD191" i="50"/>
  <c r="AG191" i="50" s="1"/>
  <c r="AG252" i="57"/>
  <c r="X250" i="57"/>
  <c r="AA250" i="57" s="1"/>
  <c r="AA249" i="57"/>
  <c r="AF249" i="57"/>
  <c r="AQ251" i="57"/>
  <c r="AC251" i="57"/>
  <c r="AE251" i="57"/>
  <c r="AD251" i="57"/>
  <c r="AJ251" i="57"/>
  <c r="Q251" i="57"/>
  <c r="T251" i="57" s="1"/>
  <c r="R251" i="57"/>
  <c r="M253" i="53"/>
  <c r="AC253" i="53" s="1"/>
  <c r="O253" i="53"/>
  <c r="AP237" i="69"/>
  <c r="N237" i="69"/>
  <c r="U237" i="69" s="1"/>
  <c r="M252" i="57"/>
  <c r="AK252" i="57" s="1"/>
  <c r="Q192" i="50"/>
  <c r="P192" i="50" s="1"/>
  <c r="N253" i="53"/>
  <c r="T182" i="32"/>
  <c r="O182" i="32"/>
  <c r="T183" i="32"/>
  <c r="O183" i="32"/>
  <c r="O193" i="50"/>
  <c r="T193" i="50"/>
  <c r="AA251" i="53"/>
  <c r="AB251" i="53"/>
  <c r="AP189" i="50"/>
  <c r="AJ191" i="50"/>
  <c r="C191" i="50"/>
  <c r="S192" i="50"/>
  <c r="Z192" i="50" s="1"/>
  <c r="W181" i="32"/>
  <c r="X181" i="32" s="1"/>
  <c r="AJ181" i="32"/>
  <c r="C181" i="32"/>
  <c r="W191" i="50"/>
  <c r="X190" i="50"/>
  <c r="V191" i="50"/>
  <c r="V181" i="32"/>
  <c r="AF236" i="69"/>
  <c r="Q236" i="69"/>
  <c r="O253" i="57"/>
  <c r="P253" i="57"/>
  <c r="AH190" i="50"/>
  <c r="AI190" i="50" s="1"/>
  <c r="O238" i="69"/>
  <c r="AO237" i="69"/>
  <c r="AK193" i="50"/>
  <c r="AE252" i="53"/>
  <c r="AF251" i="53"/>
  <c r="AK183" i="32"/>
  <c r="AK182" i="32"/>
  <c r="AM192" i="50"/>
  <c r="AL180" i="32"/>
  <c r="R252" i="53"/>
  <c r="X252" i="53" s="1"/>
  <c r="AL190" i="50"/>
  <c r="AI179" i="32"/>
  <c r="AN179" i="32" s="1"/>
  <c r="AY236" i="69"/>
  <c r="L253" i="57"/>
  <c r="AG252" i="53"/>
  <c r="AH252" i="53"/>
  <c r="AT252" i="53"/>
  <c r="N253" i="57"/>
  <c r="F253" i="53"/>
  <c r="AH236" i="69"/>
  <c r="AD252" i="53"/>
  <c r="Q252" i="53"/>
  <c r="K253" i="53"/>
  <c r="C253" i="53"/>
  <c r="H253" i="53"/>
  <c r="I253" i="53"/>
  <c r="P253" i="53"/>
  <c r="G253" i="53"/>
  <c r="J253" i="53"/>
  <c r="E253" i="53"/>
  <c r="AK252" i="52" a="1"/>
  <c r="AK252" i="52" s="1"/>
  <c r="B254" i="53" s="1"/>
  <c r="L253" i="53"/>
  <c r="D253" i="53"/>
  <c r="A183" i="32"/>
  <c r="B183" i="32"/>
  <c r="R183" i="32" s="1"/>
  <c r="A182" i="32"/>
  <c r="B182" i="32"/>
  <c r="R182" i="32" s="1"/>
  <c r="H193" i="50"/>
  <c r="B193" i="50"/>
  <c r="R193" i="50" s="1"/>
  <c r="J193" i="50"/>
  <c r="I193" i="50"/>
  <c r="A193" i="50"/>
  <c r="G193" i="50"/>
  <c r="M193" i="50"/>
  <c r="K193" i="50"/>
  <c r="N193" i="50"/>
  <c r="F193" i="50"/>
  <c r="U193" i="50" s="1"/>
  <c r="L193" i="50"/>
  <c r="I182" i="32"/>
  <c r="L182" i="32"/>
  <c r="M182" i="32"/>
  <c r="H182" i="32"/>
  <c r="J182" i="32"/>
  <c r="K182" i="32"/>
  <c r="N182" i="32"/>
  <c r="G182" i="32"/>
  <c r="F182" i="32"/>
  <c r="U182" i="32" s="1"/>
  <c r="G183" i="32"/>
  <c r="J183" i="32"/>
  <c r="K183" i="32"/>
  <c r="F183" i="32"/>
  <c r="U183" i="32" s="1"/>
  <c r="N183" i="32"/>
  <c r="H183" i="32"/>
  <c r="I183" i="32"/>
  <c r="L183" i="32"/>
  <c r="M183" i="32"/>
  <c r="H253" i="57"/>
  <c r="F253" i="57"/>
  <c r="D253" i="57"/>
  <c r="I253" i="57"/>
  <c r="E253" i="57"/>
  <c r="J253" i="57"/>
  <c r="G253" i="57"/>
  <c r="K253" i="57"/>
  <c r="C253" i="57"/>
  <c r="AN252" i="55" a="1"/>
  <c r="AN252" i="55" s="1"/>
  <c r="B254" i="57" s="1"/>
  <c r="D237" i="69"/>
  <c r="E237" i="69" s="1"/>
  <c r="F237" i="69" s="1"/>
  <c r="G237" i="69" s="1"/>
  <c r="H237" i="69" s="1"/>
  <c r="I237" i="69" s="1"/>
  <c r="J237" i="69" s="1"/>
  <c r="K237" i="69" s="1"/>
  <c r="M237" i="69" s="1"/>
  <c r="R236" i="69"/>
  <c r="S236" i="69" s="1"/>
  <c r="Y236" i="69" s="1"/>
  <c r="AE236" i="69"/>
  <c r="AR238" i="67" a="1"/>
  <c r="AR238" i="67" s="1"/>
  <c r="B239" i="69"/>
  <c r="L239" i="69" s="1"/>
  <c r="C238" i="69"/>
  <c r="P238" i="69" s="1"/>
  <c r="AL183" i="11" a="1"/>
  <c r="AL183" i="11" s="1"/>
  <c r="E184" i="32" s="1"/>
  <c r="AP193" i="59" a="1"/>
  <c r="AP193" i="59" s="1"/>
  <c r="E194" i="50" s="1"/>
  <c r="AQ83" i="59" a="1"/>
  <c r="AQ83" i="59" s="1"/>
  <c r="AM68" i="11" a="1"/>
  <c r="AM68" i="11" s="1"/>
  <c r="X251" i="57" l="1"/>
  <c r="AB251" i="57" s="1"/>
  <c r="AG235" i="69"/>
  <c r="AD192" i="50"/>
  <c r="AG192" i="50" s="1"/>
  <c r="AG253" i="57"/>
  <c r="AB250" i="57"/>
  <c r="AD252" i="57"/>
  <c r="AF250" i="57"/>
  <c r="Q252" i="57"/>
  <c r="T252" i="57" s="1"/>
  <c r="AC252" i="57"/>
  <c r="AQ252" i="57"/>
  <c r="AE252" i="57"/>
  <c r="AJ252" i="57"/>
  <c r="M254" i="53"/>
  <c r="AC254" i="53" s="1"/>
  <c r="O254" i="53"/>
  <c r="AP238" i="69"/>
  <c r="N238" i="69"/>
  <c r="U238" i="69" s="1"/>
  <c r="R252" i="57"/>
  <c r="M253" i="57"/>
  <c r="AK253" i="57" s="1"/>
  <c r="Q193" i="50"/>
  <c r="P193" i="50" s="1"/>
  <c r="Q183" i="32"/>
  <c r="P183" i="32" s="1"/>
  <c r="Q182" i="32"/>
  <c r="P182" i="32" s="1"/>
  <c r="N254" i="53"/>
  <c r="T184" i="32"/>
  <c r="O184" i="32"/>
  <c r="T194" i="50"/>
  <c r="O194" i="50"/>
  <c r="AA252" i="53"/>
  <c r="AB252" i="53"/>
  <c r="AP190" i="50"/>
  <c r="AM183" i="32"/>
  <c r="AM182" i="32"/>
  <c r="AJ192" i="50"/>
  <c r="C192" i="50"/>
  <c r="S193" i="50"/>
  <c r="Z193" i="50" s="1"/>
  <c r="S183" i="32"/>
  <c r="Z183" i="32" s="1"/>
  <c r="S182" i="32"/>
  <c r="Z182" i="32" s="1"/>
  <c r="W192" i="50"/>
  <c r="X191" i="50"/>
  <c r="V192" i="50"/>
  <c r="AF237" i="69"/>
  <c r="Q237" i="69"/>
  <c r="O254" i="57"/>
  <c r="P254" i="57"/>
  <c r="AH191" i="50"/>
  <c r="AI191" i="50" s="1"/>
  <c r="AB236" i="69"/>
  <c r="AG236" i="69"/>
  <c r="AO238" i="69"/>
  <c r="O239" i="69"/>
  <c r="AK194" i="50"/>
  <c r="AE253" i="53"/>
  <c r="AF252" i="53"/>
  <c r="AK184" i="32"/>
  <c r="AM193" i="50"/>
  <c r="AL181" i="32"/>
  <c r="AI180" i="32"/>
  <c r="AN180" i="32" s="1"/>
  <c r="R253" i="53"/>
  <c r="X253" i="53" s="1"/>
  <c r="AL191" i="50"/>
  <c r="AY237" i="69"/>
  <c r="L254" i="57"/>
  <c r="AH253" i="53"/>
  <c r="AT253" i="53"/>
  <c r="AG253" i="53"/>
  <c r="N254" i="57"/>
  <c r="C254" i="53"/>
  <c r="AH237" i="69"/>
  <c r="AD253" i="53"/>
  <c r="Q253" i="53"/>
  <c r="F254" i="53"/>
  <c r="D254" i="53"/>
  <c r="P254" i="53"/>
  <c r="AK253" i="52" a="1"/>
  <c r="AK253" i="52" s="1"/>
  <c r="B255" i="53" s="1"/>
  <c r="J254" i="53"/>
  <c r="E254" i="53"/>
  <c r="L254" i="53"/>
  <c r="K254" i="53"/>
  <c r="I254" i="53"/>
  <c r="H254" i="53"/>
  <c r="G254" i="53"/>
  <c r="A184" i="32"/>
  <c r="B184" i="32"/>
  <c r="R184" i="32" s="1"/>
  <c r="F194" i="50"/>
  <c r="U194" i="50" s="1"/>
  <c r="A194" i="50"/>
  <c r="N194" i="50"/>
  <c r="B194" i="50"/>
  <c r="R194" i="50" s="1"/>
  <c r="J194" i="50"/>
  <c r="M194" i="50"/>
  <c r="L194" i="50"/>
  <c r="K194" i="50"/>
  <c r="I194" i="50"/>
  <c r="G194" i="50"/>
  <c r="H194" i="50"/>
  <c r="M184" i="32"/>
  <c r="H184" i="32"/>
  <c r="I184" i="32"/>
  <c r="L184" i="32"/>
  <c r="F184" i="32"/>
  <c r="U184" i="32" s="1"/>
  <c r="G184" i="32"/>
  <c r="J184" i="32"/>
  <c r="K184" i="32"/>
  <c r="N184" i="32"/>
  <c r="I254" i="57"/>
  <c r="E254" i="57"/>
  <c r="D254" i="57"/>
  <c r="K254" i="57"/>
  <c r="F254" i="57"/>
  <c r="G254" i="57"/>
  <c r="J254" i="57"/>
  <c r="C254" i="57"/>
  <c r="H254" i="57"/>
  <c r="AN253" i="55" a="1"/>
  <c r="AN253" i="55" s="1"/>
  <c r="B255" i="57" s="1"/>
  <c r="AR239" i="67" a="1"/>
  <c r="AR239" i="67" s="1"/>
  <c r="B240" i="69"/>
  <c r="L240" i="69" s="1"/>
  <c r="AE237" i="69"/>
  <c r="R237" i="69"/>
  <c r="S237" i="69" s="1"/>
  <c r="Y237" i="69" s="1"/>
  <c r="C239" i="69"/>
  <c r="P239" i="69" s="1"/>
  <c r="D238" i="69"/>
  <c r="E238" i="69" s="1"/>
  <c r="F238" i="69" s="1"/>
  <c r="G238" i="69" s="1"/>
  <c r="H238" i="69" s="1"/>
  <c r="I238" i="69" s="1"/>
  <c r="J238" i="69" s="1"/>
  <c r="K238" i="69" s="1"/>
  <c r="M238" i="69" s="1"/>
  <c r="AL184" i="11" a="1"/>
  <c r="AL184" i="11" s="1"/>
  <c r="E185" i="32" s="1"/>
  <c r="AP194" i="59" a="1"/>
  <c r="AP194" i="59" s="1"/>
  <c r="E195" i="50" s="1"/>
  <c r="AQ84" i="59" a="1"/>
  <c r="AQ84" i="59" s="1"/>
  <c r="AM69" i="11" a="1"/>
  <c r="AM69" i="11" s="1"/>
  <c r="AD182" i="32" l="1"/>
  <c r="AG182" i="32" s="1"/>
  <c r="AH182" i="32" s="1"/>
  <c r="AD183" i="32"/>
  <c r="AG183" i="32" s="1"/>
  <c r="AH183" i="32" s="1"/>
  <c r="AD193" i="50"/>
  <c r="AG193" i="50" s="1"/>
  <c r="X252" i="57"/>
  <c r="AB252" i="57" s="1"/>
  <c r="AG254" i="57"/>
  <c r="AA251" i="57"/>
  <c r="AF251" i="57"/>
  <c r="AC253" i="57"/>
  <c r="M255" i="53"/>
  <c r="AC255" i="53" s="1"/>
  <c r="O255" i="53"/>
  <c r="AP239" i="69"/>
  <c r="N239" i="69"/>
  <c r="U239" i="69" s="1"/>
  <c r="AE253" i="57"/>
  <c r="AD253" i="57"/>
  <c r="AJ253" i="57"/>
  <c r="Q253" i="57"/>
  <c r="T253" i="57" s="1"/>
  <c r="AQ253" i="57"/>
  <c r="R253" i="57"/>
  <c r="M254" i="57"/>
  <c r="AK254" i="57" s="1"/>
  <c r="Q194" i="50"/>
  <c r="P194" i="50" s="1"/>
  <c r="Q184" i="32"/>
  <c r="P184" i="32" s="1"/>
  <c r="N255" i="53"/>
  <c r="T185" i="32"/>
  <c r="O185" i="32"/>
  <c r="T195" i="50"/>
  <c r="O195" i="50"/>
  <c r="AA253" i="53"/>
  <c r="AB253" i="53"/>
  <c r="AP191" i="50"/>
  <c r="AM184" i="32"/>
  <c r="C193" i="50"/>
  <c r="AJ193" i="50"/>
  <c r="S194" i="50"/>
  <c r="Z194" i="50" s="1"/>
  <c r="AJ182" i="32"/>
  <c r="C182" i="32"/>
  <c r="W182" i="32"/>
  <c r="X182" i="32" s="1"/>
  <c r="AJ183" i="32"/>
  <c r="W183" i="32"/>
  <c r="X183" i="32" s="1"/>
  <c r="C183" i="32"/>
  <c r="S184" i="32"/>
  <c r="Z184" i="32" s="1"/>
  <c r="W193" i="50"/>
  <c r="X192" i="50"/>
  <c r="V193" i="50"/>
  <c r="V182" i="32"/>
  <c r="V183" i="32"/>
  <c r="AF238" i="69"/>
  <c r="Q238" i="69"/>
  <c r="O255" i="57"/>
  <c r="P255" i="57"/>
  <c r="AC236" i="69"/>
  <c r="AD236" i="69" s="1"/>
  <c r="AH192" i="50"/>
  <c r="AI192" i="50" s="1"/>
  <c r="AB237" i="69"/>
  <c r="AG237" i="69"/>
  <c r="O240" i="69"/>
  <c r="AO239" i="69"/>
  <c r="AK195" i="50"/>
  <c r="AE254" i="53"/>
  <c r="AF253" i="53"/>
  <c r="AK185" i="32"/>
  <c r="AM194" i="50"/>
  <c r="AI181" i="32"/>
  <c r="AN181" i="32" s="1"/>
  <c r="R254" i="53"/>
  <c r="X254" i="53" s="1"/>
  <c r="AL192" i="50"/>
  <c r="AY238" i="69"/>
  <c r="L255" i="57"/>
  <c r="AG254" i="53"/>
  <c r="AH254" i="53"/>
  <c r="AT254" i="53"/>
  <c r="N255" i="57"/>
  <c r="P255" i="53"/>
  <c r="AH238" i="69"/>
  <c r="AD254" i="53"/>
  <c r="Q254" i="53"/>
  <c r="AK254" i="52" a="1"/>
  <c r="AK254" i="52" s="1"/>
  <c r="B256" i="53" s="1"/>
  <c r="G255" i="53"/>
  <c r="H255" i="53"/>
  <c r="L255" i="53"/>
  <c r="D255" i="53"/>
  <c r="J255" i="53"/>
  <c r="I255" i="53"/>
  <c r="C255" i="53"/>
  <c r="E255" i="53"/>
  <c r="F255" i="53"/>
  <c r="K255" i="53"/>
  <c r="A185" i="32"/>
  <c r="B185" i="32"/>
  <c r="R185" i="32" s="1"/>
  <c r="M195" i="50"/>
  <c r="G195" i="50"/>
  <c r="J195" i="50"/>
  <c r="B195" i="50"/>
  <c r="R195" i="50" s="1"/>
  <c r="I195" i="50"/>
  <c r="K195" i="50"/>
  <c r="L195" i="50"/>
  <c r="N195" i="50"/>
  <c r="H195" i="50"/>
  <c r="F195" i="50"/>
  <c r="U195" i="50" s="1"/>
  <c r="A195" i="50"/>
  <c r="K185" i="32"/>
  <c r="F185" i="32"/>
  <c r="U185" i="32" s="1"/>
  <c r="N185" i="32"/>
  <c r="G185" i="32"/>
  <c r="J185" i="32"/>
  <c r="L185" i="32"/>
  <c r="M185" i="32"/>
  <c r="H185" i="32"/>
  <c r="I185" i="32"/>
  <c r="H255" i="57"/>
  <c r="D255" i="57"/>
  <c r="J255" i="57"/>
  <c r="K255" i="57"/>
  <c r="F255" i="57"/>
  <c r="I255" i="57"/>
  <c r="G255" i="57"/>
  <c r="E255" i="57"/>
  <c r="C255" i="57"/>
  <c r="AN254" i="55" a="1"/>
  <c r="AN254" i="55" s="1"/>
  <c r="B256" i="57" s="1"/>
  <c r="AR240" i="67" a="1"/>
  <c r="AR240" i="67" s="1"/>
  <c r="B241" i="69"/>
  <c r="L241" i="69" s="1"/>
  <c r="AE238" i="69"/>
  <c r="R238" i="69"/>
  <c r="S238" i="69" s="1"/>
  <c r="Y238" i="69" s="1"/>
  <c r="D239" i="69"/>
  <c r="E239" i="69" s="1"/>
  <c r="F239" i="69" s="1"/>
  <c r="G239" i="69" s="1"/>
  <c r="H239" i="69" s="1"/>
  <c r="I239" i="69" s="1"/>
  <c r="J239" i="69" s="1"/>
  <c r="K239" i="69" s="1"/>
  <c r="M239" i="69" s="1"/>
  <c r="C240" i="69"/>
  <c r="P240" i="69" s="1"/>
  <c r="AL185" i="11" a="1"/>
  <c r="AL185" i="11" s="1"/>
  <c r="E186" i="32" s="1"/>
  <c r="AP195" i="59" a="1"/>
  <c r="AP195" i="59" s="1"/>
  <c r="E196" i="50" s="1"/>
  <c r="AQ85" i="59" a="1"/>
  <c r="AQ85" i="59" s="1"/>
  <c r="AM70" i="11" a="1"/>
  <c r="AM70" i="11" s="1"/>
  <c r="AD184" i="32" l="1"/>
  <c r="AG184" i="32" s="1"/>
  <c r="AH184" i="32" s="1"/>
  <c r="AD194" i="50"/>
  <c r="AG194" i="50" s="1"/>
  <c r="X253" i="57"/>
  <c r="AB253" i="57" s="1"/>
  <c r="AG255" i="57"/>
  <c r="AA252" i="57"/>
  <c r="AF252" i="57"/>
  <c r="AJ254" i="57"/>
  <c r="Q254" i="57"/>
  <c r="T254" i="57" s="1"/>
  <c r="AD254" i="57"/>
  <c r="AE254" i="57"/>
  <c r="M256" i="53"/>
  <c r="AC256" i="53" s="1"/>
  <c r="O256" i="53"/>
  <c r="AP240" i="69"/>
  <c r="N240" i="69"/>
  <c r="U240" i="69" s="1"/>
  <c r="R254" i="57"/>
  <c r="AQ254" i="57"/>
  <c r="AC254" i="57"/>
  <c r="M255" i="57"/>
  <c r="AK255" i="57" s="1"/>
  <c r="Q195" i="50"/>
  <c r="P195" i="50" s="1"/>
  <c r="Q185" i="32"/>
  <c r="P185" i="32" s="1"/>
  <c r="N256" i="53"/>
  <c r="T186" i="32"/>
  <c r="O186" i="32"/>
  <c r="T196" i="50"/>
  <c r="O196" i="50"/>
  <c r="AA254" i="53"/>
  <c r="AB254" i="53"/>
  <c r="AP192" i="50"/>
  <c r="AM185" i="32"/>
  <c r="AJ194" i="50"/>
  <c r="C194" i="50"/>
  <c r="S195" i="50"/>
  <c r="Z195" i="50" s="1"/>
  <c r="W184" i="32"/>
  <c r="X184" i="32" s="1"/>
  <c r="C184" i="32"/>
  <c r="AJ184" i="32"/>
  <c r="S185" i="32"/>
  <c r="Z185" i="32" s="1"/>
  <c r="W194" i="50"/>
  <c r="X193" i="50"/>
  <c r="V194" i="50"/>
  <c r="V184" i="32"/>
  <c r="AF239" i="69"/>
  <c r="Q239" i="69"/>
  <c r="O256" i="57"/>
  <c r="P256" i="57"/>
  <c r="AC237" i="69"/>
  <c r="AD237" i="69" s="1"/>
  <c r="AH193" i="50"/>
  <c r="AI193" i="50" s="1"/>
  <c r="AB238" i="69"/>
  <c r="AG238" i="69"/>
  <c r="O241" i="69"/>
  <c r="AO240" i="69"/>
  <c r="AK196" i="50"/>
  <c r="AE255" i="53"/>
  <c r="AF254" i="53"/>
  <c r="AK186" i="32"/>
  <c r="AM195" i="50"/>
  <c r="AL183" i="32"/>
  <c r="AL182" i="32"/>
  <c r="R255" i="53"/>
  <c r="X255" i="53" s="1"/>
  <c r="AL193" i="50"/>
  <c r="AY239" i="69"/>
  <c r="L256" i="57"/>
  <c r="AH255" i="53"/>
  <c r="AT255" i="53"/>
  <c r="AG255" i="53"/>
  <c r="N256" i="57"/>
  <c r="AH239" i="69"/>
  <c r="Q255" i="53"/>
  <c r="AD255" i="53"/>
  <c r="L256" i="53"/>
  <c r="G256" i="53"/>
  <c r="P256" i="53"/>
  <c r="E256" i="53"/>
  <c r="K256" i="53"/>
  <c r="C256" i="53"/>
  <c r="D256" i="53"/>
  <c r="J256" i="53"/>
  <c r="AK255" i="52" a="1"/>
  <c r="AK255" i="52" s="1"/>
  <c r="B257" i="53" s="1"/>
  <c r="I256" i="53"/>
  <c r="F256" i="53"/>
  <c r="H256" i="53"/>
  <c r="A186" i="32"/>
  <c r="B186" i="32"/>
  <c r="R186" i="32" s="1"/>
  <c r="I196" i="50"/>
  <c r="F196" i="50"/>
  <c r="U196" i="50" s="1"/>
  <c r="K196" i="50"/>
  <c r="G196" i="50"/>
  <c r="M196" i="50"/>
  <c r="N196" i="50"/>
  <c r="J196" i="50"/>
  <c r="A196" i="50"/>
  <c r="B196" i="50"/>
  <c r="R196" i="50" s="1"/>
  <c r="H196" i="50"/>
  <c r="L196" i="50"/>
  <c r="I186" i="32"/>
  <c r="L186" i="32"/>
  <c r="M186" i="32"/>
  <c r="H186" i="32"/>
  <c r="F186" i="32"/>
  <c r="U186" i="32" s="1"/>
  <c r="G186" i="32"/>
  <c r="J186" i="32"/>
  <c r="K186" i="32"/>
  <c r="N186" i="32"/>
  <c r="J256" i="57"/>
  <c r="F256" i="57"/>
  <c r="D256" i="57"/>
  <c r="I256" i="57"/>
  <c r="E256" i="57"/>
  <c r="H256" i="57"/>
  <c r="C256" i="57"/>
  <c r="G256" i="57"/>
  <c r="K256" i="57"/>
  <c r="AN255" i="55" a="1"/>
  <c r="AN255" i="55" s="1"/>
  <c r="B257" i="57" s="1"/>
  <c r="C241" i="69"/>
  <c r="P241" i="69" s="1"/>
  <c r="D240" i="69"/>
  <c r="E240" i="69" s="1"/>
  <c r="F240" i="69" s="1"/>
  <c r="G240" i="69" s="1"/>
  <c r="H240" i="69" s="1"/>
  <c r="I240" i="69" s="1"/>
  <c r="J240" i="69" s="1"/>
  <c r="K240" i="69" s="1"/>
  <c r="M240" i="69" s="1"/>
  <c r="AE239" i="69"/>
  <c r="R239" i="69"/>
  <c r="S239" i="69" s="1"/>
  <c r="Y239" i="69" s="1"/>
  <c r="AR241" i="67" a="1"/>
  <c r="AR241" i="67" s="1"/>
  <c r="B242" i="69"/>
  <c r="L242" i="69" s="1"/>
  <c r="AL186" i="11" a="1"/>
  <c r="AL186" i="11" s="1"/>
  <c r="E187" i="32" s="1"/>
  <c r="AP196" i="59" a="1"/>
  <c r="AP196" i="59" s="1"/>
  <c r="E197" i="50" s="1"/>
  <c r="AQ86" i="59" a="1"/>
  <c r="AQ86" i="59" s="1"/>
  <c r="AM71" i="11" a="1"/>
  <c r="AM71" i="11" s="1"/>
  <c r="AE255" i="57" l="1"/>
  <c r="AD185" i="32"/>
  <c r="AG185" i="32" s="1"/>
  <c r="AH185" i="32" s="1"/>
  <c r="AD195" i="50"/>
  <c r="AG195" i="50" s="1"/>
  <c r="X254" i="57"/>
  <c r="AB254" i="57" s="1"/>
  <c r="AG256" i="57"/>
  <c r="AF253" i="57"/>
  <c r="AA253" i="57"/>
  <c r="M257" i="53"/>
  <c r="AC257" i="53" s="1"/>
  <c r="O257" i="53"/>
  <c r="AP241" i="69"/>
  <c r="N241" i="69"/>
  <c r="U241" i="69" s="1"/>
  <c r="AJ255" i="57"/>
  <c r="AD255" i="57"/>
  <c r="R255" i="57"/>
  <c r="Q255" i="57"/>
  <c r="T255" i="57" s="1"/>
  <c r="AQ255" i="57"/>
  <c r="AC255" i="57"/>
  <c r="M256" i="57"/>
  <c r="AK256" i="57" s="1"/>
  <c r="Q196" i="50"/>
  <c r="P196" i="50" s="1"/>
  <c r="Q186" i="32"/>
  <c r="P186" i="32" s="1"/>
  <c r="N257" i="53"/>
  <c r="T187" i="32"/>
  <c r="O187" i="32"/>
  <c r="T197" i="50"/>
  <c r="O197" i="50"/>
  <c r="AA255" i="53"/>
  <c r="AB255" i="53"/>
  <c r="AP193" i="50"/>
  <c r="AM186" i="32"/>
  <c r="C195" i="50"/>
  <c r="AJ195" i="50"/>
  <c r="S196" i="50"/>
  <c r="Z196" i="50" s="1"/>
  <c r="C185" i="32"/>
  <c r="W185" i="32"/>
  <c r="X185" i="32" s="1"/>
  <c r="S186" i="32"/>
  <c r="Z186" i="32" s="1"/>
  <c r="AJ185" i="32"/>
  <c r="W195" i="50"/>
  <c r="X194" i="50"/>
  <c r="V195" i="50"/>
  <c r="V185" i="32"/>
  <c r="AF240" i="69"/>
  <c r="Q240" i="69"/>
  <c r="O257" i="57"/>
  <c r="P257" i="57"/>
  <c r="P258" i="57" s="1"/>
  <c r="AC238" i="69"/>
  <c r="AD238" i="69" s="1"/>
  <c r="AH194" i="50"/>
  <c r="AI194" i="50" s="1"/>
  <c r="AB239" i="69"/>
  <c r="AG239" i="69"/>
  <c r="AO241" i="69"/>
  <c r="O242" i="69"/>
  <c r="AK197" i="50"/>
  <c r="AE256" i="53"/>
  <c r="AF255" i="53"/>
  <c r="AK187" i="32"/>
  <c r="AM196" i="50"/>
  <c r="AL184" i="32"/>
  <c r="AI183" i="32"/>
  <c r="AN183" i="32" s="1"/>
  <c r="R256" i="53"/>
  <c r="X256" i="53" s="1"/>
  <c r="AL194" i="50"/>
  <c r="AI182" i="32"/>
  <c r="AN182" i="32" s="1"/>
  <c r="AY240" i="69"/>
  <c r="L257" i="57"/>
  <c r="AH256" i="53"/>
  <c r="AT256" i="53"/>
  <c r="AG256" i="53"/>
  <c r="N257" i="57"/>
  <c r="AH240" i="69"/>
  <c r="Q256" i="53"/>
  <c r="AD256" i="53"/>
  <c r="J257" i="53"/>
  <c r="F257" i="53"/>
  <c r="AK256" i="52" a="1"/>
  <c r="AK256" i="52" s="1"/>
  <c r="AK257" i="52" s="1" a="1"/>
  <c r="AK257" i="52" s="1"/>
  <c r="L257" i="53"/>
  <c r="K257" i="53"/>
  <c r="D257" i="53"/>
  <c r="E257" i="53"/>
  <c r="H257" i="53"/>
  <c r="I257" i="53"/>
  <c r="P257" i="53"/>
  <c r="P258" i="53" s="1"/>
  <c r="G257" i="53"/>
  <c r="C257" i="53"/>
  <c r="A187" i="32"/>
  <c r="B187" i="32"/>
  <c r="R187" i="32" s="1"/>
  <c r="K197" i="50"/>
  <c r="A197" i="50"/>
  <c r="M197" i="50"/>
  <c r="G197" i="50"/>
  <c r="N197" i="50"/>
  <c r="J197" i="50"/>
  <c r="B197" i="50"/>
  <c r="R197" i="50" s="1"/>
  <c r="L197" i="50"/>
  <c r="F197" i="50"/>
  <c r="U197" i="50" s="1"/>
  <c r="H197" i="50"/>
  <c r="I197" i="50"/>
  <c r="G187" i="32"/>
  <c r="J187" i="32"/>
  <c r="K187" i="32"/>
  <c r="F187" i="32"/>
  <c r="U187" i="32" s="1"/>
  <c r="N187" i="32"/>
  <c r="H187" i="32"/>
  <c r="I187" i="32"/>
  <c r="L187" i="32"/>
  <c r="M187" i="32"/>
  <c r="H257" i="57"/>
  <c r="F257" i="57"/>
  <c r="D257" i="57"/>
  <c r="C257" i="57"/>
  <c r="I257" i="57"/>
  <c r="E257" i="57"/>
  <c r="J257" i="57"/>
  <c r="K257" i="57"/>
  <c r="G257" i="57"/>
  <c r="AN256" i="55" a="1"/>
  <c r="AN256" i="55" s="1"/>
  <c r="AN257" i="55" s="1" a="1"/>
  <c r="AN257" i="55" s="1"/>
  <c r="AR242" i="67" a="1"/>
  <c r="AR242" i="67" s="1"/>
  <c r="B243" i="69"/>
  <c r="L243" i="69" s="1"/>
  <c r="R240" i="69"/>
  <c r="S240" i="69" s="1"/>
  <c r="Y240" i="69" s="1"/>
  <c r="AE240" i="69"/>
  <c r="C242" i="69"/>
  <c r="P242" i="69" s="1"/>
  <c r="D241" i="69"/>
  <c r="E241" i="69" s="1"/>
  <c r="F241" i="69" s="1"/>
  <c r="G241" i="69" s="1"/>
  <c r="H241" i="69" s="1"/>
  <c r="I241" i="69" s="1"/>
  <c r="J241" i="69" s="1"/>
  <c r="K241" i="69" s="1"/>
  <c r="M241" i="69" s="1"/>
  <c r="AL187" i="11" a="1"/>
  <c r="AL187" i="11" s="1"/>
  <c r="AP197" i="59" a="1"/>
  <c r="AP197" i="59" s="1"/>
  <c r="E198" i="50" s="1"/>
  <c r="AQ87" i="59" a="1"/>
  <c r="AQ87" i="59" s="1"/>
  <c r="AM72" i="11" a="1"/>
  <c r="AM72" i="11" s="1"/>
  <c r="AD186" i="32" l="1"/>
  <c r="AG186" i="32" s="1"/>
  <c r="AH186" i="32" s="1"/>
  <c r="AD196" i="50"/>
  <c r="AG196" i="50" s="1"/>
  <c r="AD256" i="57"/>
  <c r="R256" i="57"/>
  <c r="X255" i="57"/>
  <c r="AA255" i="57" s="1"/>
  <c r="AG257" i="57"/>
  <c r="AA254" i="57"/>
  <c r="AF254" i="57"/>
  <c r="AP242" i="69"/>
  <c r="N242" i="69"/>
  <c r="U242" i="69" s="1"/>
  <c r="AQ256" i="57"/>
  <c r="AE256" i="57"/>
  <c r="Q256" i="57"/>
  <c r="T256" i="57" s="1"/>
  <c r="AJ256" i="57"/>
  <c r="AC256" i="57"/>
  <c r="M257" i="57"/>
  <c r="AK257" i="57" s="1"/>
  <c r="AK258" i="57" s="1"/>
  <c r="H25" i="73" s="1"/>
  <c r="Q197" i="50"/>
  <c r="P197" i="50" s="1"/>
  <c r="Q187" i="32"/>
  <c r="P187" i="32" s="1"/>
  <c r="T198" i="50"/>
  <c r="O198" i="50"/>
  <c r="AA256" i="53"/>
  <c r="AB256" i="53"/>
  <c r="AP194" i="50"/>
  <c r="AM187" i="32"/>
  <c r="AJ196" i="50"/>
  <c r="C196" i="50"/>
  <c r="S197" i="50"/>
  <c r="AJ186" i="32"/>
  <c r="W186" i="32"/>
  <c r="X186" i="32" s="1"/>
  <c r="C186" i="32"/>
  <c r="S187" i="32"/>
  <c r="Z187" i="32" s="1"/>
  <c r="W196" i="50"/>
  <c r="X195" i="50"/>
  <c r="V196" i="50"/>
  <c r="V186" i="32"/>
  <c r="AF241" i="69"/>
  <c r="Q241" i="69"/>
  <c r="AC239" i="69"/>
  <c r="AD239" i="69" s="1"/>
  <c r="AH195" i="50"/>
  <c r="AI195" i="50" s="1"/>
  <c r="AB240" i="69"/>
  <c r="AG240" i="69"/>
  <c r="O243" i="69"/>
  <c r="AO242" i="69"/>
  <c r="AK198" i="50"/>
  <c r="AE257" i="53"/>
  <c r="AF256" i="53"/>
  <c r="AM197" i="50"/>
  <c r="AL185" i="32"/>
  <c r="AI184" i="32"/>
  <c r="AN184" i="32" s="1"/>
  <c r="R257" i="53"/>
  <c r="X257" i="53" s="1"/>
  <c r="AL195" i="50"/>
  <c r="N154" i="22"/>
  <c r="P154" i="22" s="1"/>
  <c r="M154" i="22"/>
  <c r="O154" i="22" s="1"/>
  <c r="M150" i="22"/>
  <c r="O150" i="22" s="1"/>
  <c r="M162" i="22"/>
  <c r="O162" i="22" s="1"/>
  <c r="N156" i="22"/>
  <c r="P156" i="22" s="1"/>
  <c r="N158" i="22"/>
  <c r="P158" i="22" s="1"/>
  <c r="M155" i="22"/>
  <c r="O155" i="22" s="1"/>
  <c r="M156" i="22"/>
  <c r="O156" i="22" s="1"/>
  <c r="M159" i="22"/>
  <c r="O159" i="22" s="1"/>
  <c r="N151" i="22"/>
  <c r="P151" i="22" s="1"/>
  <c r="N155" i="22"/>
  <c r="P155" i="22" s="1"/>
  <c r="N153" i="22"/>
  <c r="P153" i="22" s="1"/>
  <c r="N159" i="22"/>
  <c r="P159" i="22" s="1"/>
  <c r="N161" i="22"/>
  <c r="P161" i="22" s="1"/>
  <c r="M152" i="22"/>
  <c r="O152" i="22" s="1"/>
  <c r="N162" i="22"/>
  <c r="P162" i="22" s="1"/>
  <c r="M161" i="22"/>
  <c r="O161" i="22" s="1"/>
  <c r="M160" i="22"/>
  <c r="O160" i="22" s="1"/>
  <c r="M153" i="22"/>
  <c r="O153" i="22" s="1"/>
  <c r="M151" i="22"/>
  <c r="O151" i="22" s="1"/>
  <c r="M158" i="22"/>
  <c r="O158" i="22" s="1"/>
  <c r="N160" i="22"/>
  <c r="P160" i="22" s="1"/>
  <c r="N157" i="22"/>
  <c r="P157" i="22" s="1"/>
  <c r="M157" i="22"/>
  <c r="O157" i="22" s="1"/>
  <c r="N152" i="22"/>
  <c r="P152" i="22" s="1"/>
  <c r="N150" i="22"/>
  <c r="P150" i="22" s="1"/>
  <c r="AY241" i="69"/>
  <c r="AG257" i="53"/>
  <c r="AH257" i="53"/>
  <c r="AH258" i="53" s="1"/>
  <c r="H13" i="73" s="1"/>
  <c r="J17" i="73" s="1"/>
  <c r="K17" i="73" s="1"/>
  <c r="AT257" i="53"/>
  <c r="AH241" i="69"/>
  <c r="Q257" i="53"/>
  <c r="AD257" i="53"/>
  <c r="A198" i="50"/>
  <c r="N198" i="50"/>
  <c r="I198" i="50"/>
  <c r="F198" i="50"/>
  <c r="U198" i="50" s="1"/>
  <c r="J198" i="50"/>
  <c r="G198" i="50"/>
  <c r="L198" i="50"/>
  <c r="H198" i="50"/>
  <c r="B198" i="50"/>
  <c r="R198" i="50" s="1"/>
  <c r="M198" i="50"/>
  <c r="K198" i="50"/>
  <c r="E188" i="32"/>
  <c r="AE241" i="69"/>
  <c r="R241" i="69"/>
  <c r="S241" i="69" s="1"/>
  <c r="Y241" i="69" s="1"/>
  <c r="D242" i="69"/>
  <c r="E242" i="69" s="1"/>
  <c r="F242" i="69" s="1"/>
  <c r="G242" i="69" s="1"/>
  <c r="H242" i="69" s="1"/>
  <c r="I242" i="69" s="1"/>
  <c r="J242" i="69" s="1"/>
  <c r="K242" i="69" s="1"/>
  <c r="M242" i="69" s="1"/>
  <c r="C243" i="69"/>
  <c r="P243" i="69" s="1"/>
  <c r="AR243" i="67" a="1"/>
  <c r="AR243" i="67" s="1"/>
  <c r="B244" i="69"/>
  <c r="L244" i="69" s="1"/>
  <c r="AL188" i="11" a="1"/>
  <c r="AL188" i="11" s="1"/>
  <c r="E189" i="32" s="1"/>
  <c r="AP198" i="59" a="1"/>
  <c r="AP198" i="59" s="1"/>
  <c r="E199" i="50" s="1"/>
  <c r="AQ88" i="59" a="1"/>
  <c r="AQ88" i="59" s="1"/>
  <c r="AM73" i="11" a="1"/>
  <c r="AM73" i="11" s="1"/>
  <c r="H29" i="73" l="1"/>
  <c r="J29" i="73"/>
  <c r="K29" i="73" s="1"/>
  <c r="AQ257" i="57"/>
  <c r="AD187" i="32"/>
  <c r="AG187" i="32" s="1"/>
  <c r="AH187" i="32" s="1"/>
  <c r="AD197" i="50"/>
  <c r="AG197" i="50" s="1"/>
  <c r="X256" i="57"/>
  <c r="AB256" i="57" s="1"/>
  <c r="H17" i="73"/>
  <c r="Z161" i="22"/>
  <c r="Y154" i="22"/>
  <c r="AP243" i="69"/>
  <c r="N243" i="69"/>
  <c r="U243" i="69" s="1"/>
  <c r="AF255" i="57"/>
  <c r="Y150" i="22"/>
  <c r="AA150" i="22" s="1"/>
  <c r="E120" i="36" s="1"/>
  <c r="G120" i="36" s="1"/>
  <c r="R257" i="57"/>
  <c r="Z156" i="22"/>
  <c r="Y159" i="22"/>
  <c r="AB255" i="57"/>
  <c r="Q257" i="57"/>
  <c r="T257" i="57" s="1"/>
  <c r="AJ257" i="57"/>
  <c r="AJ258" i="57" s="1"/>
  <c r="L25" i="73" s="1"/>
  <c r="Y156" i="22"/>
  <c r="Y161" i="22"/>
  <c r="Y157" i="22"/>
  <c r="Y158" i="22"/>
  <c r="Z151" i="22"/>
  <c r="Z160" i="22"/>
  <c r="Y151" i="22"/>
  <c r="Y160" i="22"/>
  <c r="Y153" i="22"/>
  <c r="AC257" i="57"/>
  <c r="Z162" i="22"/>
  <c r="AD257" i="57"/>
  <c r="Y162" i="22"/>
  <c r="Y155" i="22"/>
  <c r="Y152" i="22"/>
  <c r="AE257" i="57"/>
  <c r="Z150" i="22"/>
  <c r="Z153" i="22"/>
  <c r="Z152" i="22"/>
  <c r="Z159" i="22"/>
  <c r="Z154" i="22"/>
  <c r="Z155" i="22"/>
  <c r="Z158" i="22"/>
  <c r="Z157" i="22"/>
  <c r="Q198" i="50"/>
  <c r="P198" i="50" s="1"/>
  <c r="T189" i="32"/>
  <c r="O189" i="32"/>
  <c r="T188" i="32"/>
  <c r="O188" i="32"/>
  <c r="T199" i="50"/>
  <c r="O199" i="50"/>
  <c r="AA257" i="53"/>
  <c r="AB257" i="53"/>
  <c r="AP195" i="50"/>
  <c r="C197" i="50"/>
  <c r="Z197" i="50"/>
  <c r="AJ197" i="50"/>
  <c r="S198" i="50"/>
  <c r="Z198" i="50" s="1"/>
  <c r="AJ187" i="32"/>
  <c r="W187" i="32"/>
  <c r="X187" i="32" s="1"/>
  <c r="C187" i="32"/>
  <c r="W197" i="50"/>
  <c r="X196" i="50"/>
  <c r="V197" i="50"/>
  <c r="V187" i="32"/>
  <c r="AF242" i="69"/>
  <c r="Q242" i="69"/>
  <c r="AC240" i="69"/>
  <c r="AD240" i="69" s="1"/>
  <c r="AH196" i="50"/>
  <c r="AI196" i="50" s="1"/>
  <c r="AB241" i="69"/>
  <c r="AG241" i="69"/>
  <c r="AO243" i="69"/>
  <c r="O244" i="69"/>
  <c r="AK199" i="50"/>
  <c r="AF257" i="53"/>
  <c r="AK189" i="32"/>
  <c r="AK188" i="32"/>
  <c r="AM198" i="50"/>
  <c r="AL186" i="32"/>
  <c r="AI185" i="32"/>
  <c r="AN185" i="32" s="1"/>
  <c r="AL196" i="50"/>
  <c r="Q157" i="22"/>
  <c r="E107" i="36"/>
  <c r="R162" i="22"/>
  <c r="C47" i="104" s="1"/>
  <c r="F112" i="36"/>
  <c r="Q162" i="22"/>
  <c r="E112" i="36"/>
  <c r="Q153" i="22"/>
  <c r="E103" i="36"/>
  <c r="R155" i="22"/>
  <c r="C33" i="104" s="1"/>
  <c r="F105" i="36"/>
  <c r="Q150" i="22"/>
  <c r="E100" i="36"/>
  <c r="R150" i="22"/>
  <c r="C14" i="104" s="1"/>
  <c r="F100" i="36"/>
  <c r="R160" i="22"/>
  <c r="C45" i="104" s="1"/>
  <c r="F110" i="36"/>
  <c r="Q160" i="22"/>
  <c r="E110" i="36"/>
  <c r="R161" i="22"/>
  <c r="C46" i="104" s="1"/>
  <c r="F111" i="36"/>
  <c r="R151" i="22"/>
  <c r="C22" i="104" s="1"/>
  <c r="F101" i="36"/>
  <c r="R158" i="22"/>
  <c r="C36" i="104" s="1"/>
  <c r="F108" i="36"/>
  <c r="Q154" i="22"/>
  <c r="E104" i="36"/>
  <c r="Q151" i="22"/>
  <c r="E101" i="36"/>
  <c r="R153" i="22"/>
  <c r="C24" i="104" s="1"/>
  <c r="F103" i="36"/>
  <c r="Q156" i="22"/>
  <c r="E106" i="36"/>
  <c r="R157" i="22"/>
  <c r="C35" i="104" s="1"/>
  <c r="F107" i="36"/>
  <c r="Q152" i="22"/>
  <c r="E102" i="36"/>
  <c r="Q155" i="22"/>
  <c r="E105" i="36"/>
  <c r="R152" i="22"/>
  <c r="C23" i="104" s="1"/>
  <c r="F102" i="36"/>
  <c r="Q158" i="22"/>
  <c r="E108" i="36"/>
  <c r="Q161" i="22"/>
  <c r="E111" i="36"/>
  <c r="R159" i="22"/>
  <c r="F109" i="36"/>
  <c r="Q159" i="22"/>
  <c r="E109" i="36"/>
  <c r="R156" i="22"/>
  <c r="C34" i="104" s="1"/>
  <c r="F106" i="36"/>
  <c r="R154" i="22"/>
  <c r="C32" i="104" s="1"/>
  <c r="F104" i="36"/>
  <c r="AY242" i="69"/>
  <c r="AH242" i="69"/>
  <c r="A189" i="32"/>
  <c r="B189" i="32"/>
  <c r="R189" i="32" s="1"/>
  <c r="A188" i="32"/>
  <c r="B188" i="32"/>
  <c r="R188" i="32" s="1"/>
  <c r="K199" i="50"/>
  <c r="M199" i="50"/>
  <c r="I199" i="50"/>
  <c r="A199" i="50"/>
  <c r="G199" i="50"/>
  <c r="H199" i="50"/>
  <c r="J199" i="50"/>
  <c r="L199" i="50"/>
  <c r="B199" i="50"/>
  <c r="R199" i="50" s="1"/>
  <c r="N199" i="50"/>
  <c r="F199" i="50"/>
  <c r="U199" i="50" s="1"/>
  <c r="K189" i="32"/>
  <c r="F189" i="32"/>
  <c r="U189" i="32" s="1"/>
  <c r="N189" i="32"/>
  <c r="G189" i="32"/>
  <c r="J189" i="32"/>
  <c r="H189" i="32"/>
  <c r="I189" i="32"/>
  <c r="L189" i="32"/>
  <c r="M189" i="32"/>
  <c r="M188" i="32"/>
  <c r="H188" i="32"/>
  <c r="I188" i="32"/>
  <c r="L188" i="32"/>
  <c r="N188" i="32"/>
  <c r="F188" i="32"/>
  <c r="U188" i="32" s="1"/>
  <c r="G188" i="32"/>
  <c r="K188" i="32"/>
  <c r="J188" i="32"/>
  <c r="AR244" i="67" a="1"/>
  <c r="AR244" i="67" s="1"/>
  <c r="B245" i="69"/>
  <c r="L245" i="69" s="1"/>
  <c r="D243" i="69"/>
  <c r="E243" i="69" s="1"/>
  <c r="F243" i="69" s="1"/>
  <c r="G243" i="69" s="1"/>
  <c r="H243" i="69" s="1"/>
  <c r="I243" i="69" s="1"/>
  <c r="J243" i="69" s="1"/>
  <c r="K243" i="69" s="1"/>
  <c r="M243" i="69" s="1"/>
  <c r="AE242" i="69"/>
  <c r="R242" i="69"/>
  <c r="S242" i="69" s="1"/>
  <c r="Y242" i="69" s="1"/>
  <c r="C244" i="69"/>
  <c r="P244" i="69" s="1"/>
  <c r="AL189" i="11" a="1"/>
  <c r="AL189" i="11" s="1"/>
  <c r="E190" i="32" s="1"/>
  <c r="AP199" i="59" a="1"/>
  <c r="AP199" i="59" s="1"/>
  <c r="E200" i="50" s="1"/>
  <c r="AQ89" i="59" a="1"/>
  <c r="AQ89" i="59" s="1"/>
  <c r="AM74" i="11" a="1"/>
  <c r="AM74" i="11" s="1"/>
  <c r="X257" i="57" l="1"/>
  <c r="AF257" i="57" s="1"/>
  <c r="AA256" i="57"/>
  <c r="AF256" i="57"/>
  <c r="AD198" i="50"/>
  <c r="AG198" i="50" s="1"/>
  <c r="AP244" i="69"/>
  <c r="N244" i="69"/>
  <c r="U244" i="69" s="1"/>
  <c r="Q199" i="50"/>
  <c r="P199" i="50" s="1"/>
  <c r="Q188" i="32"/>
  <c r="P188" i="32" s="1"/>
  <c r="Q189" i="32"/>
  <c r="P189" i="32" s="1"/>
  <c r="H38" i="73"/>
  <c r="T190" i="32"/>
  <c r="O190" i="32"/>
  <c r="T200" i="50"/>
  <c r="O200" i="50"/>
  <c r="AP196" i="50"/>
  <c r="AM189" i="32"/>
  <c r="AM188" i="32"/>
  <c r="AJ198" i="50"/>
  <c r="C198" i="50"/>
  <c r="S199" i="50"/>
  <c r="Z199" i="50" s="1"/>
  <c r="S189" i="32"/>
  <c r="Z189" i="32" s="1"/>
  <c r="S188" i="32"/>
  <c r="Z188" i="32" s="1"/>
  <c r="W198" i="50"/>
  <c r="X197" i="50"/>
  <c r="V198" i="50"/>
  <c r="AF243" i="69"/>
  <c r="Q243" i="69"/>
  <c r="C44" i="104"/>
  <c r="AC241" i="69"/>
  <c r="AD241" i="69" s="1"/>
  <c r="AH197" i="50"/>
  <c r="AI197" i="50" s="1"/>
  <c r="AB242" i="69"/>
  <c r="AG242" i="69"/>
  <c r="AO244" i="69"/>
  <c r="O245" i="69"/>
  <c r="AK200" i="50"/>
  <c r="AK190" i="32"/>
  <c r="AM199" i="50"/>
  <c r="AL187" i="32"/>
  <c r="AI186" i="32"/>
  <c r="AN186" i="32" s="1"/>
  <c r="AL197" i="50"/>
  <c r="G109" i="36"/>
  <c r="G111" i="36"/>
  <c r="H102" i="36"/>
  <c r="G102" i="36"/>
  <c r="G101" i="36"/>
  <c r="H108" i="36"/>
  <c r="H111" i="36"/>
  <c r="H110" i="36"/>
  <c r="E140" i="36"/>
  <c r="G100" i="36"/>
  <c r="G140" i="36" s="1"/>
  <c r="G103" i="36"/>
  <c r="H112" i="36"/>
  <c r="H106" i="36"/>
  <c r="H109" i="36"/>
  <c r="G108" i="36"/>
  <c r="G105" i="36"/>
  <c r="H107" i="36"/>
  <c r="H103" i="36"/>
  <c r="G104" i="36"/>
  <c r="H101" i="36"/>
  <c r="G110" i="36"/>
  <c r="H100" i="36"/>
  <c r="H105" i="36"/>
  <c r="G112" i="36"/>
  <c r="G107" i="36"/>
  <c r="H104" i="36"/>
  <c r="G106" i="36"/>
  <c r="AY243" i="69"/>
  <c r="X2" i="53"/>
  <c r="AH243" i="69"/>
  <c r="A190" i="32"/>
  <c r="B190" i="32"/>
  <c r="R190" i="32" s="1"/>
  <c r="L200" i="50"/>
  <c r="M200" i="50"/>
  <c r="G200" i="50"/>
  <c r="B200" i="50"/>
  <c r="R200" i="50" s="1"/>
  <c r="N200" i="50"/>
  <c r="F200" i="50"/>
  <c r="U200" i="50" s="1"/>
  <c r="H200" i="50"/>
  <c r="I200" i="50"/>
  <c r="J200" i="50"/>
  <c r="K200" i="50"/>
  <c r="A200" i="50"/>
  <c r="I190" i="32"/>
  <c r="L190" i="32"/>
  <c r="M190" i="32"/>
  <c r="H190" i="32"/>
  <c r="J190" i="32"/>
  <c r="K190" i="32"/>
  <c r="N190" i="32"/>
  <c r="F190" i="32"/>
  <c r="U190" i="32" s="1"/>
  <c r="G190" i="32"/>
  <c r="AR245" i="67" a="1"/>
  <c r="AR245" i="67" s="1"/>
  <c r="B246" i="69"/>
  <c r="L246" i="69" s="1"/>
  <c r="C245" i="69"/>
  <c r="P245" i="69" s="1"/>
  <c r="D244" i="69"/>
  <c r="E244" i="69" s="1"/>
  <c r="F244" i="69" s="1"/>
  <c r="G244" i="69" s="1"/>
  <c r="H244" i="69" s="1"/>
  <c r="I244" i="69" s="1"/>
  <c r="J244" i="69" s="1"/>
  <c r="K244" i="69" s="1"/>
  <c r="M244" i="69" s="1"/>
  <c r="R243" i="69"/>
  <c r="S243" i="69" s="1"/>
  <c r="Y243" i="69" s="1"/>
  <c r="AE243" i="69"/>
  <c r="AL190" i="11" a="1"/>
  <c r="AL190" i="11" s="1"/>
  <c r="E191" i="32" s="1"/>
  <c r="AP200" i="59" a="1"/>
  <c r="AP200" i="59" s="1"/>
  <c r="E201" i="50" s="1"/>
  <c r="AQ90" i="59" a="1"/>
  <c r="AQ90" i="59" s="1"/>
  <c r="AM75" i="11" a="1"/>
  <c r="AM75" i="11" s="1"/>
  <c r="AA257" i="57" l="1"/>
  <c r="AB257" i="57"/>
  <c r="X2" i="57" s="1"/>
  <c r="AD189" i="32"/>
  <c r="AG189" i="32" s="1"/>
  <c r="AH189" i="32" s="1"/>
  <c r="AD188" i="32"/>
  <c r="AG188" i="32" s="1"/>
  <c r="AH188" i="32" s="1"/>
  <c r="AD199" i="50"/>
  <c r="AG199" i="50" s="1"/>
  <c r="AP245" i="69"/>
  <c r="N245" i="69"/>
  <c r="U245" i="69" s="1"/>
  <c r="Q200" i="50"/>
  <c r="P200" i="50" s="1"/>
  <c r="Q190" i="32"/>
  <c r="P190" i="32" s="1"/>
  <c r="H33" i="73"/>
  <c r="T191" i="32"/>
  <c r="O191" i="32"/>
  <c r="O201" i="50"/>
  <c r="T201" i="50"/>
  <c r="AP197" i="50"/>
  <c r="AM190" i="32"/>
  <c r="C199" i="50"/>
  <c r="AJ199" i="50"/>
  <c r="S200" i="50"/>
  <c r="Z200" i="50" s="1"/>
  <c r="C188" i="32"/>
  <c r="AJ188" i="32"/>
  <c r="W188" i="32"/>
  <c r="X188" i="32" s="1"/>
  <c r="AJ189" i="32"/>
  <c r="W189" i="32"/>
  <c r="X189" i="32" s="1"/>
  <c r="C189" i="32"/>
  <c r="S190" i="32"/>
  <c r="Z190" i="32" s="1"/>
  <c r="W199" i="50"/>
  <c r="X198" i="50"/>
  <c r="V199" i="50"/>
  <c r="V188" i="32"/>
  <c r="V189" i="32"/>
  <c r="AF244" i="69"/>
  <c r="Q244" i="69"/>
  <c r="AC242" i="69"/>
  <c r="AD242" i="69" s="1"/>
  <c r="AH198" i="50"/>
  <c r="AI198" i="50" s="1"/>
  <c r="AB243" i="69"/>
  <c r="AG243" i="69"/>
  <c r="O246" i="69"/>
  <c r="AO245" i="69"/>
  <c r="AK201" i="50"/>
  <c r="AK191" i="32"/>
  <c r="AM200" i="50"/>
  <c r="AI187" i="32"/>
  <c r="AN187" i="32" s="1"/>
  <c r="AL198" i="50"/>
  <c r="AY244" i="69"/>
  <c r="AH244" i="69"/>
  <c r="A191" i="32"/>
  <c r="B191" i="32"/>
  <c r="R191" i="32" s="1"/>
  <c r="H201" i="50"/>
  <c r="B201" i="50"/>
  <c r="R201" i="50" s="1"/>
  <c r="I201" i="50"/>
  <c r="M201" i="50"/>
  <c r="J201" i="50"/>
  <c r="A201" i="50"/>
  <c r="G201" i="50"/>
  <c r="K201" i="50"/>
  <c r="F201" i="50"/>
  <c r="U201" i="50" s="1"/>
  <c r="L201" i="50"/>
  <c r="N201" i="50"/>
  <c r="G191" i="32"/>
  <c r="J191" i="32"/>
  <c r="K191" i="32"/>
  <c r="F191" i="32"/>
  <c r="U191" i="32" s="1"/>
  <c r="N191" i="32"/>
  <c r="H191" i="32"/>
  <c r="I191" i="32"/>
  <c r="L191" i="32"/>
  <c r="M191" i="32"/>
  <c r="AR246" i="67" a="1"/>
  <c r="AR246" i="67" s="1"/>
  <c r="B247" i="69"/>
  <c r="L247" i="69" s="1"/>
  <c r="AE244" i="69"/>
  <c r="R244" i="69"/>
  <c r="S244" i="69" s="1"/>
  <c r="Y244" i="69" s="1"/>
  <c r="D245" i="69"/>
  <c r="E245" i="69" s="1"/>
  <c r="F245" i="69" s="1"/>
  <c r="G245" i="69" s="1"/>
  <c r="H245" i="69" s="1"/>
  <c r="I245" i="69" s="1"/>
  <c r="J245" i="69" s="1"/>
  <c r="K245" i="69" s="1"/>
  <c r="M245" i="69" s="1"/>
  <c r="C246" i="69"/>
  <c r="P246" i="69" s="1"/>
  <c r="AL191" i="11" a="1"/>
  <c r="AL191" i="11" s="1"/>
  <c r="E192" i="32" s="1"/>
  <c r="AP201" i="59" a="1"/>
  <c r="AP201" i="59" s="1"/>
  <c r="E202" i="50" s="1"/>
  <c r="AQ91" i="59" a="1"/>
  <c r="AQ91" i="59" s="1"/>
  <c r="AM76" i="11" a="1"/>
  <c r="AM76" i="11" s="1"/>
  <c r="AB244" i="69" l="1"/>
  <c r="AC244" i="69" s="1"/>
  <c r="AD244" i="69" s="1"/>
  <c r="AD190" i="32"/>
  <c r="AG190" i="32" s="1"/>
  <c r="AH190" i="32" s="1"/>
  <c r="AD200" i="50"/>
  <c r="AG200" i="50" s="1"/>
  <c r="H42" i="73"/>
  <c r="H62" i="73"/>
  <c r="J62" i="73" s="1"/>
  <c r="AP246" i="69"/>
  <c r="N246" i="69"/>
  <c r="U246" i="69" s="1"/>
  <c r="Q201" i="50"/>
  <c r="P201" i="50" s="1"/>
  <c r="Q191" i="32"/>
  <c r="P191" i="32" s="1"/>
  <c r="H48" i="73"/>
  <c r="H52" i="73" s="1"/>
  <c r="J52" i="73" s="1"/>
  <c r="J33" i="73"/>
  <c r="T192" i="32"/>
  <c r="O192" i="32"/>
  <c r="T202" i="50"/>
  <c r="O202" i="50"/>
  <c r="AP198" i="50"/>
  <c r="AM191" i="32"/>
  <c r="C200" i="50"/>
  <c r="AJ200" i="50"/>
  <c r="S201" i="50"/>
  <c r="Z201" i="50" s="1"/>
  <c r="C190" i="32"/>
  <c r="AJ190" i="32"/>
  <c r="S191" i="32"/>
  <c r="Z191" i="32" s="1"/>
  <c r="W200" i="50"/>
  <c r="W190" i="32"/>
  <c r="X190" i="32" s="1"/>
  <c r="X199" i="50"/>
  <c r="V200" i="50"/>
  <c r="AF245" i="69"/>
  <c r="Q245" i="69"/>
  <c r="AC243" i="69"/>
  <c r="AD243" i="69" s="1"/>
  <c r="AH199" i="50"/>
  <c r="AI199" i="50" s="1"/>
  <c r="O247" i="69"/>
  <c r="AO246" i="69"/>
  <c r="AG244" i="69"/>
  <c r="AK202" i="50"/>
  <c r="AK192" i="32"/>
  <c r="AM201" i="50"/>
  <c r="AL189" i="32"/>
  <c r="AL188" i="32"/>
  <c r="AL199" i="50"/>
  <c r="AY245" i="69"/>
  <c r="AH245" i="69"/>
  <c r="V190" i="32"/>
  <c r="A192" i="32"/>
  <c r="B192" i="32"/>
  <c r="R192" i="32" s="1"/>
  <c r="G202" i="50"/>
  <c r="F202" i="50"/>
  <c r="U202" i="50" s="1"/>
  <c r="A202" i="50"/>
  <c r="M202" i="50"/>
  <c r="N202" i="50"/>
  <c r="K202" i="50"/>
  <c r="J202" i="50"/>
  <c r="L202" i="50"/>
  <c r="B202" i="50"/>
  <c r="R202" i="50" s="1"/>
  <c r="I202" i="50"/>
  <c r="H202" i="50"/>
  <c r="M192" i="32"/>
  <c r="H192" i="32"/>
  <c r="I192" i="32"/>
  <c r="L192" i="32"/>
  <c r="F192" i="32"/>
  <c r="U192" i="32" s="1"/>
  <c r="G192" i="32"/>
  <c r="J192" i="32"/>
  <c r="K192" i="32"/>
  <c r="N192" i="32"/>
  <c r="AR247" i="67" a="1"/>
  <c r="AR247" i="67" s="1"/>
  <c r="B248" i="69"/>
  <c r="L248" i="69" s="1"/>
  <c r="R245" i="69"/>
  <c r="S245" i="69" s="1"/>
  <c r="Y245" i="69" s="1"/>
  <c r="AE245" i="69"/>
  <c r="D246" i="69"/>
  <c r="E246" i="69" s="1"/>
  <c r="F246" i="69" s="1"/>
  <c r="G246" i="69" s="1"/>
  <c r="H246" i="69" s="1"/>
  <c r="I246" i="69" s="1"/>
  <c r="J246" i="69" s="1"/>
  <c r="K246" i="69" s="1"/>
  <c r="M246" i="69" s="1"/>
  <c r="C247" i="69"/>
  <c r="P247" i="69" s="1"/>
  <c r="AL192" i="11" a="1"/>
  <c r="AL192" i="11" s="1"/>
  <c r="AP202" i="59" a="1"/>
  <c r="AP202" i="59" s="1"/>
  <c r="E203" i="50" s="1"/>
  <c r="AQ92" i="59" a="1"/>
  <c r="AQ92" i="59" s="1"/>
  <c r="AM77" i="11" a="1"/>
  <c r="AM77" i="11" s="1"/>
  <c r="AD191" i="32" l="1"/>
  <c r="AG191" i="32" s="1"/>
  <c r="AH191" i="32" s="1"/>
  <c r="AD201" i="50"/>
  <c r="AG201" i="50" s="1"/>
  <c r="AP247" i="69"/>
  <c r="N247" i="69"/>
  <c r="U247" i="69" s="1"/>
  <c r="Q202" i="50"/>
  <c r="P202" i="50" s="1"/>
  <c r="Q192" i="32"/>
  <c r="P192" i="32" s="1"/>
  <c r="M3" i="58"/>
  <c r="H11" i="36"/>
  <c r="I3" i="42"/>
  <c r="O3" i="53"/>
  <c r="J3" i="52"/>
  <c r="I3" i="55"/>
  <c r="O3" i="57"/>
  <c r="T203" i="50"/>
  <c r="O203" i="50"/>
  <c r="AP199" i="50"/>
  <c r="AM192" i="32"/>
  <c r="AJ201" i="50"/>
  <c r="C201" i="50"/>
  <c r="S202" i="50"/>
  <c r="Z202" i="50" s="1"/>
  <c r="AJ191" i="32"/>
  <c r="W191" i="32"/>
  <c r="X191" i="32" s="1"/>
  <c r="C191" i="32"/>
  <c r="S192" i="32"/>
  <c r="Z192" i="32" s="1"/>
  <c r="W201" i="50"/>
  <c r="X200" i="50"/>
  <c r="V201" i="50"/>
  <c r="V191" i="32"/>
  <c r="AF246" i="69"/>
  <c r="Q246" i="69"/>
  <c r="AH200" i="50"/>
  <c r="AI200" i="50" s="1"/>
  <c r="AB245" i="69"/>
  <c r="AG245" i="69"/>
  <c r="O248" i="69"/>
  <c r="AO247" i="69"/>
  <c r="AK203" i="50"/>
  <c r="AM202" i="50"/>
  <c r="AL190" i="32"/>
  <c r="AI188" i="32"/>
  <c r="AN188" i="32" s="1"/>
  <c r="AI189" i="32"/>
  <c r="AN189" i="32" s="1"/>
  <c r="AL200" i="50"/>
  <c r="AY246" i="69"/>
  <c r="AH246" i="69"/>
  <c r="M203" i="50"/>
  <c r="N203" i="50"/>
  <c r="G203" i="50"/>
  <c r="I203" i="50"/>
  <c r="F203" i="50"/>
  <c r="U203" i="50" s="1"/>
  <c r="K203" i="50"/>
  <c r="H203" i="50"/>
  <c r="J203" i="50"/>
  <c r="B203" i="50"/>
  <c r="R203" i="50" s="1"/>
  <c r="A203" i="50"/>
  <c r="L203" i="50"/>
  <c r="E193" i="32"/>
  <c r="C248" i="69"/>
  <c r="P248" i="69" s="1"/>
  <c r="D247" i="69"/>
  <c r="E247" i="69" s="1"/>
  <c r="F247" i="69" s="1"/>
  <c r="G247" i="69" s="1"/>
  <c r="H247" i="69" s="1"/>
  <c r="I247" i="69" s="1"/>
  <c r="J247" i="69" s="1"/>
  <c r="K247" i="69" s="1"/>
  <c r="M247" i="69" s="1"/>
  <c r="R246" i="69"/>
  <c r="S246" i="69" s="1"/>
  <c r="Y246" i="69" s="1"/>
  <c r="AE246" i="69"/>
  <c r="AR248" i="67" a="1"/>
  <c r="AR248" i="67" s="1"/>
  <c r="B249" i="69"/>
  <c r="L249" i="69" s="1"/>
  <c r="AL193" i="11" a="1"/>
  <c r="AL193" i="11" s="1"/>
  <c r="AP203" i="59" a="1"/>
  <c r="AP203" i="59" s="1"/>
  <c r="E204" i="50" s="1"/>
  <c r="AQ93" i="59" a="1"/>
  <c r="AQ93" i="59" s="1"/>
  <c r="AM78" i="11" a="1"/>
  <c r="AM78" i="11" s="1"/>
  <c r="AD192" i="32" l="1"/>
  <c r="AG192" i="32" s="1"/>
  <c r="AH192" i="32" s="1"/>
  <c r="AD202" i="50"/>
  <c r="AG202" i="50" s="1"/>
  <c r="AP248" i="69"/>
  <c r="N248" i="69"/>
  <c r="U248" i="69" s="1"/>
  <c r="Q203" i="50"/>
  <c r="P203" i="50" s="1"/>
  <c r="O4" i="53"/>
  <c r="I4" i="42"/>
  <c r="J4" i="52"/>
  <c r="O4" i="57"/>
  <c r="I4" i="55"/>
  <c r="H15" i="36"/>
  <c r="M4" i="58"/>
  <c r="T193" i="32"/>
  <c r="O193" i="32"/>
  <c r="T204" i="50"/>
  <c r="O204" i="50"/>
  <c r="AP200" i="50"/>
  <c r="C202" i="50"/>
  <c r="AJ202" i="50"/>
  <c r="S203" i="50"/>
  <c r="Z203" i="50" s="1"/>
  <c r="AJ192" i="32"/>
  <c r="C192" i="32"/>
  <c r="W202" i="50"/>
  <c r="W192" i="32"/>
  <c r="X192" i="32" s="1"/>
  <c r="X201" i="50"/>
  <c r="V202" i="50"/>
  <c r="AF247" i="69"/>
  <c r="Q247" i="69"/>
  <c r="AC245" i="69"/>
  <c r="AD245" i="69" s="1"/>
  <c r="AH201" i="50"/>
  <c r="AI201" i="50" s="1"/>
  <c r="AB246" i="69"/>
  <c r="AG246" i="69"/>
  <c r="O249" i="69"/>
  <c r="AO248" i="69"/>
  <c r="AK204" i="50"/>
  <c r="AK193" i="32"/>
  <c r="AM203" i="50"/>
  <c r="AL191" i="32"/>
  <c r="AL201" i="50"/>
  <c r="AI190" i="32"/>
  <c r="AN190" i="32" s="1"/>
  <c r="AY247" i="69"/>
  <c r="AH247" i="69"/>
  <c r="V192" i="32"/>
  <c r="A193" i="32"/>
  <c r="B193" i="32"/>
  <c r="R193" i="32" s="1"/>
  <c r="F204" i="50"/>
  <c r="U204" i="50" s="1"/>
  <c r="N204" i="50"/>
  <c r="B204" i="50"/>
  <c r="R204" i="50" s="1"/>
  <c r="A204" i="50"/>
  <c r="J204" i="50"/>
  <c r="L204" i="50"/>
  <c r="G204" i="50"/>
  <c r="M204" i="50"/>
  <c r="H204" i="50"/>
  <c r="I204" i="50"/>
  <c r="K204" i="50"/>
  <c r="K193" i="32"/>
  <c r="F193" i="32"/>
  <c r="U193" i="32" s="1"/>
  <c r="N193" i="32"/>
  <c r="G193" i="32"/>
  <c r="J193" i="32"/>
  <c r="L193" i="32"/>
  <c r="M193" i="32"/>
  <c r="H193" i="32"/>
  <c r="I193" i="32"/>
  <c r="E194" i="32"/>
  <c r="AR249" i="67" a="1"/>
  <c r="AR249" i="67" s="1"/>
  <c r="B250" i="69"/>
  <c r="L250" i="69" s="1"/>
  <c r="AE247" i="69"/>
  <c r="R247" i="69"/>
  <c r="S247" i="69" s="1"/>
  <c r="Y247" i="69" s="1"/>
  <c r="C249" i="69"/>
  <c r="P249" i="69" s="1"/>
  <c r="D248" i="69"/>
  <c r="E248" i="69" s="1"/>
  <c r="F248" i="69" s="1"/>
  <c r="G248" i="69" s="1"/>
  <c r="H248" i="69" s="1"/>
  <c r="I248" i="69" s="1"/>
  <c r="J248" i="69" s="1"/>
  <c r="K248" i="69" s="1"/>
  <c r="M248" i="69" s="1"/>
  <c r="AL194" i="11" a="1"/>
  <c r="AL194" i="11" s="1"/>
  <c r="E195" i="32" s="1"/>
  <c r="AP204" i="59" a="1"/>
  <c r="AP204" i="59" s="1"/>
  <c r="E205" i="50" s="1"/>
  <c r="AQ94" i="59" a="1"/>
  <c r="AQ94" i="59" s="1"/>
  <c r="AM79" i="11" a="1"/>
  <c r="AM79" i="11" s="1"/>
  <c r="AB247" i="69" l="1"/>
  <c r="AC247" i="69" s="1"/>
  <c r="AD247" i="69" s="1"/>
  <c r="AD203" i="50"/>
  <c r="AG203" i="50" s="1"/>
  <c r="AP249" i="69"/>
  <c r="N249" i="69"/>
  <c r="U249" i="69" s="1"/>
  <c r="Q204" i="50"/>
  <c r="P204" i="50" s="1"/>
  <c r="Q193" i="32"/>
  <c r="P193" i="32" s="1"/>
  <c r="T195" i="32"/>
  <c r="O195" i="32"/>
  <c r="T194" i="32"/>
  <c r="O194" i="32"/>
  <c r="T205" i="50"/>
  <c r="O205" i="50"/>
  <c r="AP201" i="50"/>
  <c r="AM193" i="32"/>
  <c r="AJ203" i="50"/>
  <c r="C203" i="50"/>
  <c r="S204" i="50"/>
  <c r="Z204" i="50" s="1"/>
  <c r="S193" i="32"/>
  <c r="Z193" i="32" s="1"/>
  <c r="W203" i="50"/>
  <c r="X202" i="50"/>
  <c r="V203" i="50"/>
  <c r="AF248" i="69"/>
  <c r="Q248" i="69"/>
  <c r="AC246" i="69"/>
  <c r="AD246" i="69" s="1"/>
  <c r="AH202" i="50"/>
  <c r="AI202" i="50" s="1"/>
  <c r="AG247" i="69"/>
  <c r="O250" i="69"/>
  <c r="AO249" i="69"/>
  <c r="AK205" i="50"/>
  <c r="AK195" i="32"/>
  <c r="AK194" i="32"/>
  <c r="AM204" i="50"/>
  <c r="AL192" i="32"/>
  <c r="AI191" i="32"/>
  <c r="AN191" i="32" s="1"/>
  <c r="AL202" i="50"/>
  <c r="AY248" i="69"/>
  <c r="AH248" i="69"/>
  <c r="A195" i="32"/>
  <c r="B195" i="32"/>
  <c r="R195" i="32" s="1"/>
  <c r="A194" i="32"/>
  <c r="B194" i="32"/>
  <c r="R194" i="32" s="1"/>
  <c r="K205" i="50"/>
  <c r="F205" i="50"/>
  <c r="U205" i="50" s="1"/>
  <c r="M205" i="50"/>
  <c r="G205" i="50"/>
  <c r="B205" i="50"/>
  <c r="R205" i="50" s="1"/>
  <c r="L205" i="50"/>
  <c r="N205" i="50"/>
  <c r="H205" i="50"/>
  <c r="I205" i="50"/>
  <c r="A205" i="50"/>
  <c r="J205" i="50"/>
  <c r="G195" i="32"/>
  <c r="J195" i="32"/>
  <c r="K195" i="32"/>
  <c r="F195" i="32"/>
  <c r="U195" i="32" s="1"/>
  <c r="N195" i="32"/>
  <c r="H195" i="32"/>
  <c r="I195" i="32"/>
  <c r="L195" i="32"/>
  <c r="M195" i="32"/>
  <c r="I194" i="32"/>
  <c r="L194" i="32"/>
  <c r="M194" i="32"/>
  <c r="H194" i="32"/>
  <c r="F194" i="32"/>
  <c r="U194" i="32" s="1"/>
  <c r="G194" i="32"/>
  <c r="J194" i="32"/>
  <c r="K194" i="32"/>
  <c r="N194" i="32"/>
  <c r="D249" i="69"/>
  <c r="E249" i="69" s="1"/>
  <c r="F249" i="69" s="1"/>
  <c r="G249" i="69" s="1"/>
  <c r="H249" i="69" s="1"/>
  <c r="I249" i="69" s="1"/>
  <c r="J249" i="69" s="1"/>
  <c r="K249" i="69" s="1"/>
  <c r="M249" i="69" s="1"/>
  <c r="AR250" i="67" a="1"/>
  <c r="AR250" i="67" s="1"/>
  <c r="B251" i="69"/>
  <c r="L251" i="69" s="1"/>
  <c r="R248" i="69"/>
  <c r="S248" i="69" s="1"/>
  <c r="Y248" i="69" s="1"/>
  <c r="AE248" i="69"/>
  <c r="C250" i="69"/>
  <c r="P250" i="69" s="1"/>
  <c r="AL195" i="11" a="1"/>
  <c r="AL195" i="11" s="1"/>
  <c r="E196" i="32" s="1"/>
  <c r="AP205" i="59" a="1"/>
  <c r="AP205" i="59" s="1"/>
  <c r="E206" i="50" s="1"/>
  <c r="AQ95" i="59" a="1"/>
  <c r="AQ95" i="59" s="1"/>
  <c r="AM80" i="11" a="1"/>
  <c r="AM80" i="11" s="1"/>
  <c r="AB248" i="69" l="1"/>
  <c r="AC248" i="69" s="1"/>
  <c r="AD248" i="69" s="1"/>
  <c r="AD193" i="32"/>
  <c r="AG193" i="32" s="1"/>
  <c r="AH193" i="32" s="1"/>
  <c r="AD204" i="50"/>
  <c r="AG204" i="50" s="1"/>
  <c r="AP250" i="69"/>
  <c r="N250" i="69"/>
  <c r="U250" i="69" s="1"/>
  <c r="Q205" i="50"/>
  <c r="P205" i="50" s="1"/>
  <c r="Q195" i="32"/>
  <c r="P195" i="32" s="1"/>
  <c r="Q194" i="32"/>
  <c r="P194" i="32" s="1"/>
  <c r="T196" i="32"/>
  <c r="O196" i="32"/>
  <c r="T206" i="50"/>
  <c r="O206" i="50"/>
  <c r="AP202" i="50"/>
  <c r="AM195" i="32"/>
  <c r="AM194" i="32"/>
  <c r="C204" i="50"/>
  <c r="AJ204" i="50"/>
  <c r="S205" i="50"/>
  <c r="Z205" i="50" s="1"/>
  <c r="W193" i="32"/>
  <c r="X193" i="32" s="1"/>
  <c r="C193" i="32"/>
  <c r="AJ193" i="32"/>
  <c r="S194" i="32"/>
  <c r="Z194" i="32" s="1"/>
  <c r="S195" i="32"/>
  <c r="AD195" i="32" s="1"/>
  <c r="W204" i="50"/>
  <c r="X203" i="50"/>
  <c r="V204" i="50"/>
  <c r="V193" i="32"/>
  <c r="AF249" i="69"/>
  <c r="Q249" i="69"/>
  <c r="AH203" i="50"/>
  <c r="AI203" i="50" s="1"/>
  <c r="AG248" i="69"/>
  <c r="O251" i="69"/>
  <c r="AO250" i="69"/>
  <c r="AK206" i="50"/>
  <c r="AK196" i="32"/>
  <c r="AM205" i="50"/>
  <c r="AI192" i="32"/>
  <c r="AN192" i="32" s="1"/>
  <c r="AL203" i="50"/>
  <c r="AY249" i="69"/>
  <c r="AH249" i="69"/>
  <c r="A196" i="32"/>
  <c r="B196" i="32"/>
  <c r="R196" i="32" s="1"/>
  <c r="I206" i="50"/>
  <c r="G206" i="50"/>
  <c r="H206" i="50"/>
  <c r="A206" i="50"/>
  <c r="N206" i="50"/>
  <c r="L206" i="50"/>
  <c r="F206" i="50"/>
  <c r="U206" i="50" s="1"/>
  <c r="M206" i="50"/>
  <c r="J206" i="50"/>
  <c r="B206" i="50"/>
  <c r="R206" i="50" s="1"/>
  <c r="K206" i="50"/>
  <c r="M196" i="32"/>
  <c r="H196" i="32"/>
  <c r="I196" i="32"/>
  <c r="L196" i="32"/>
  <c r="N196" i="32"/>
  <c r="F196" i="32"/>
  <c r="U196" i="32" s="1"/>
  <c r="G196" i="32"/>
  <c r="J196" i="32"/>
  <c r="K196" i="32"/>
  <c r="D250" i="69"/>
  <c r="E250" i="69" s="1"/>
  <c r="F250" i="69" s="1"/>
  <c r="G250" i="69" s="1"/>
  <c r="H250" i="69" s="1"/>
  <c r="I250" i="69" s="1"/>
  <c r="J250" i="69" s="1"/>
  <c r="K250" i="69" s="1"/>
  <c r="M250" i="69" s="1"/>
  <c r="AE249" i="69"/>
  <c r="R249" i="69"/>
  <c r="S249" i="69" s="1"/>
  <c r="Y249" i="69" s="1"/>
  <c r="C251" i="69"/>
  <c r="P251" i="69" s="1"/>
  <c r="AR251" i="67" a="1"/>
  <c r="AR251" i="67" s="1"/>
  <c r="B252" i="69"/>
  <c r="L252" i="69" s="1"/>
  <c r="AL196" i="11" a="1"/>
  <c r="AL196" i="11" s="1"/>
  <c r="E197" i="32" s="1"/>
  <c r="AP206" i="59" a="1"/>
  <c r="AP206" i="59" s="1"/>
  <c r="E207" i="50" s="1"/>
  <c r="AQ96" i="59" a="1"/>
  <c r="AQ96" i="59" s="1"/>
  <c r="AM81" i="11" a="1"/>
  <c r="AM81" i="11" s="1"/>
  <c r="AD194" i="32" l="1"/>
  <c r="AG194" i="32" s="1"/>
  <c r="AH194" i="32" s="1"/>
  <c r="AD205" i="50"/>
  <c r="AG205" i="50" s="1"/>
  <c r="AP251" i="69"/>
  <c r="N251" i="69"/>
  <c r="U251" i="69" s="1"/>
  <c r="Q206" i="50"/>
  <c r="P206" i="50" s="1"/>
  <c r="Q196" i="32"/>
  <c r="P196" i="32" s="1"/>
  <c r="T197" i="32"/>
  <c r="O197" i="32"/>
  <c r="T207" i="50"/>
  <c r="O207" i="50"/>
  <c r="AP203" i="50"/>
  <c r="C195" i="32"/>
  <c r="Z195" i="32"/>
  <c r="AM196" i="32"/>
  <c r="AJ205" i="50"/>
  <c r="C205" i="50"/>
  <c r="S206" i="50"/>
  <c r="Z206" i="50" s="1"/>
  <c r="C194" i="32"/>
  <c r="AJ194" i="32"/>
  <c r="W194" i="32"/>
  <c r="X194" i="32" s="1"/>
  <c r="S196" i="32"/>
  <c r="Z196" i="32" s="1"/>
  <c r="W195" i="32"/>
  <c r="X195" i="32" s="1"/>
  <c r="AJ195" i="32"/>
  <c r="W205" i="50"/>
  <c r="X204" i="50"/>
  <c r="V205" i="50"/>
  <c r="V194" i="32"/>
  <c r="V195" i="32"/>
  <c r="AF250" i="69"/>
  <c r="Q250" i="69"/>
  <c r="AH204" i="50"/>
  <c r="AI204" i="50" s="1"/>
  <c r="AB249" i="69"/>
  <c r="AG249" i="69"/>
  <c r="O252" i="69"/>
  <c r="AO251" i="69"/>
  <c r="AK207" i="50"/>
  <c r="AK197" i="32"/>
  <c r="AG195" i="32"/>
  <c r="AH195" i="32" s="1"/>
  <c r="AM206" i="50"/>
  <c r="AL193" i="32"/>
  <c r="AL204" i="50"/>
  <c r="AY250" i="69"/>
  <c r="AH250" i="69"/>
  <c r="A197" i="32"/>
  <c r="B197" i="32"/>
  <c r="R197" i="32" s="1"/>
  <c r="I207" i="50"/>
  <c r="K207" i="50"/>
  <c r="A207" i="50"/>
  <c r="B207" i="50"/>
  <c r="R207" i="50" s="1"/>
  <c r="G207" i="50"/>
  <c r="M207" i="50"/>
  <c r="H207" i="50"/>
  <c r="J207" i="50"/>
  <c r="L207" i="50"/>
  <c r="F207" i="50"/>
  <c r="U207" i="50" s="1"/>
  <c r="N207" i="50"/>
  <c r="K197" i="32"/>
  <c r="F197" i="32"/>
  <c r="U197" i="32" s="1"/>
  <c r="N197" i="32"/>
  <c r="G197" i="32"/>
  <c r="J197" i="32"/>
  <c r="H197" i="32"/>
  <c r="I197" i="32"/>
  <c r="L197" i="32"/>
  <c r="M197" i="32"/>
  <c r="C252" i="69"/>
  <c r="P252" i="69" s="1"/>
  <c r="AR252" i="67" a="1"/>
  <c r="AR252" i="67" s="1"/>
  <c r="B253" i="69"/>
  <c r="L253" i="69" s="1"/>
  <c r="AE250" i="69"/>
  <c r="R250" i="69"/>
  <c r="S250" i="69" s="1"/>
  <c r="Y250" i="69" s="1"/>
  <c r="D251" i="69"/>
  <c r="E251" i="69" s="1"/>
  <c r="F251" i="69" s="1"/>
  <c r="G251" i="69" s="1"/>
  <c r="H251" i="69" s="1"/>
  <c r="I251" i="69" s="1"/>
  <c r="J251" i="69" s="1"/>
  <c r="K251" i="69" s="1"/>
  <c r="M251" i="69" s="1"/>
  <c r="AL197" i="11" a="1"/>
  <c r="AL197" i="11" s="1"/>
  <c r="E198" i="32" s="1"/>
  <c r="AP207" i="59" a="1"/>
  <c r="AP207" i="59" s="1"/>
  <c r="E208" i="50" s="1"/>
  <c r="AQ97" i="59" a="1"/>
  <c r="AQ97" i="59" s="1"/>
  <c r="AM82" i="11" a="1"/>
  <c r="AM82" i="11" s="1"/>
  <c r="AD196" i="32" l="1"/>
  <c r="AD206" i="50"/>
  <c r="AG206" i="50" s="1"/>
  <c r="AP252" i="69"/>
  <c r="N252" i="69"/>
  <c r="U252" i="69" s="1"/>
  <c r="Q207" i="50"/>
  <c r="P207" i="50" s="1"/>
  <c r="Q197" i="32"/>
  <c r="P197" i="32" s="1"/>
  <c r="T198" i="32"/>
  <c r="O198" i="32"/>
  <c r="T208" i="50"/>
  <c r="O208" i="50"/>
  <c r="AP204" i="50"/>
  <c r="AM197" i="32"/>
  <c r="AJ206" i="50"/>
  <c r="C206" i="50"/>
  <c r="S207" i="50"/>
  <c r="Z207" i="50" s="1"/>
  <c r="C196" i="32"/>
  <c r="W196" i="32"/>
  <c r="X196" i="32" s="1"/>
  <c r="AJ196" i="32"/>
  <c r="S197" i="32"/>
  <c r="Z197" i="32" s="1"/>
  <c r="W206" i="50"/>
  <c r="X205" i="50"/>
  <c r="V206" i="50"/>
  <c r="V196" i="32"/>
  <c r="AF251" i="69"/>
  <c r="Q251" i="69"/>
  <c r="AC249" i="69"/>
  <c r="AD249" i="69" s="1"/>
  <c r="AH205" i="50"/>
  <c r="AI205" i="50" s="1"/>
  <c r="AB250" i="69"/>
  <c r="AG250" i="69"/>
  <c r="AO252" i="69"/>
  <c r="O253" i="69"/>
  <c r="AK208" i="50"/>
  <c r="AK198" i="32"/>
  <c r="AM207" i="50"/>
  <c r="AL195" i="32"/>
  <c r="AL194" i="32"/>
  <c r="AI193" i="32"/>
  <c r="AN193" i="32" s="1"/>
  <c r="AL205" i="50"/>
  <c r="AY251" i="69"/>
  <c r="AH251" i="69"/>
  <c r="A198" i="32"/>
  <c r="B198" i="32"/>
  <c r="R198" i="32" s="1"/>
  <c r="F208" i="50"/>
  <c r="U208" i="50" s="1"/>
  <c r="G208" i="50"/>
  <c r="N208" i="50"/>
  <c r="J208" i="50"/>
  <c r="M208" i="50"/>
  <c r="B208" i="50"/>
  <c r="R208" i="50" s="1"/>
  <c r="K208" i="50"/>
  <c r="L208" i="50"/>
  <c r="A208" i="50"/>
  <c r="I208" i="50"/>
  <c r="H208" i="50"/>
  <c r="I198" i="32"/>
  <c r="L198" i="32"/>
  <c r="M198" i="32"/>
  <c r="H198" i="32"/>
  <c r="J198" i="32"/>
  <c r="K198" i="32"/>
  <c r="N198" i="32"/>
  <c r="F198" i="32"/>
  <c r="U198" i="32" s="1"/>
  <c r="G198" i="32"/>
  <c r="AR253" i="67" a="1"/>
  <c r="AR253" i="67" s="1"/>
  <c r="B254" i="69"/>
  <c r="L254" i="69" s="1"/>
  <c r="C253" i="69"/>
  <c r="P253" i="69" s="1"/>
  <c r="R251" i="69"/>
  <c r="S251" i="69" s="1"/>
  <c r="Y251" i="69" s="1"/>
  <c r="AE251" i="69"/>
  <c r="D252" i="69"/>
  <c r="E252" i="69" s="1"/>
  <c r="F252" i="69" s="1"/>
  <c r="G252" i="69" s="1"/>
  <c r="H252" i="69" s="1"/>
  <c r="I252" i="69" s="1"/>
  <c r="J252" i="69" s="1"/>
  <c r="K252" i="69" s="1"/>
  <c r="M252" i="69" s="1"/>
  <c r="AL198" i="11" a="1"/>
  <c r="AL198" i="11" s="1"/>
  <c r="AP208" i="59" a="1"/>
  <c r="AP208" i="59" s="1"/>
  <c r="E209" i="50" s="1"/>
  <c r="AQ98" i="59" a="1"/>
  <c r="AQ98" i="59" s="1"/>
  <c r="AM83" i="11" a="1"/>
  <c r="AM83" i="11" s="1"/>
  <c r="AD197" i="32" l="1"/>
  <c r="AG197" i="32" s="1"/>
  <c r="AH197" i="32" s="1"/>
  <c r="AD207" i="50"/>
  <c r="AG207" i="50" s="1"/>
  <c r="AP253" i="69"/>
  <c r="N253" i="69"/>
  <c r="U253" i="69" s="1"/>
  <c r="Q208" i="50"/>
  <c r="P208" i="50" s="1"/>
  <c r="Q198" i="32"/>
  <c r="P198" i="32" s="1"/>
  <c r="O209" i="50"/>
  <c r="T209" i="50"/>
  <c r="AP205" i="50"/>
  <c r="AG196" i="32"/>
  <c r="AH196" i="32" s="1"/>
  <c r="AM198" i="32"/>
  <c r="C207" i="50"/>
  <c r="AJ207" i="50"/>
  <c r="S208" i="50"/>
  <c r="Z208" i="50" s="1"/>
  <c r="AJ197" i="32"/>
  <c r="W197" i="32"/>
  <c r="X197" i="32" s="1"/>
  <c r="C197" i="32"/>
  <c r="S198" i="32"/>
  <c r="Z198" i="32" s="1"/>
  <c r="W207" i="50"/>
  <c r="X206" i="50"/>
  <c r="V207" i="50"/>
  <c r="V197" i="32"/>
  <c r="AF252" i="69"/>
  <c r="Q252" i="69"/>
  <c r="AC250" i="69"/>
  <c r="AD250" i="69" s="1"/>
  <c r="AH206" i="50"/>
  <c r="AI206" i="50" s="1"/>
  <c r="AB251" i="69"/>
  <c r="AG251" i="69"/>
  <c r="AO253" i="69"/>
  <c r="O254" i="69"/>
  <c r="AK209" i="50"/>
  <c r="AM208" i="50"/>
  <c r="AL196" i="32"/>
  <c r="AI194" i="32"/>
  <c r="AN194" i="32" s="1"/>
  <c r="AI195" i="32"/>
  <c r="AN195" i="32" s="1"/>
  <c r="AL206" i="50"/>
  <c r="AY252" i="69"/>
  <c r="AH252" i="69"/>
  <c r="B209" i="50"/>
  <c r="R209" i="50" s="1"/>
  <c r="M209" i="50"/>
  <c r="K209" i="50"/>
  <c r="G209" i="50"/>
  <c r="H209" i="50"/>
  <c r="A209" i="50"/>
  <c r="J209" i="50"/>
  <c r="I209" i="50"/>
  <c r="N209" i="50"/>
  <c r="F209" i="50"/>
  <c r="U209" i="50" s="1"/>
  <c r="L209" i="50"/>
  <c r="E199" i="32"/>
  <c r="AR254" i="67" a="1"/>
  <c r="AR254" i="67" s="1"/>
  <c r="B255" i="69"/>
  <c r="L255" i="69" s="1"/>
  <c r="AE252" i="69"/>
  <c r="R252" i="69"/>
  <c r="S252" i="69" s="1"/>
  <c r="Y252" i="69" s="1"/>
  <c r="D253" i="69"/>
  <c r="E253" i="69" s="1"/>
  <c r="F253" i="69" s="1"/>
  <c r="G253" i="69" s="1"/>
  <c r="H253" i="69" s="1"/>
  <c r="I253" i="69" s="1"/>
  <c r="J253" i="69" s="1"/>
  <c r="K253" i="69" s="1"/>
  <c r="M253" i="69" s="1"/>
  <c r="C254" i="69"/>
  <c r="P254" i="69" s="1"/>
  <c r="AL199" i="11" a="1"/>
  <c r="AL199" i="11" s="1"/>
  <c r="E200" i="32" s="1"/>
  <c r="AP209" i="59" a="1"/>
  <c r="AP209" i="59" s="1"/>
  <c r="E210" i="50" s="1"/>
  <c r="AQ99" i="59" a="1"/>
  <c r="AQ99" i="59" s="1"/>
  <c r="AM84" i="11" a="1"/>
  <c r="AM84" i="11" s="1"/>
  <c r="AD198" i="32" l="1"/>
  <c r="AG198" i="32" s="1"/>
  <c r="AH198" i="32" s="1"/>
  <c r="AD208" i="50"/>
  <c r="AG208" i="50" s="1"/>
  <c r="AP254" i="69"/>
  <c r="N254" i="69"/>
  <c r="U254" i="69" s="1"/>
  <c r="Q209" i="50"/>
  <c r="P209" i="50" s="1"/>
  <c r="T200" i="32"/>
  <c r="O200" i="32"/>
  <c r="T199" i="32"/>
  <c r="O199" i="32"/>
  <c r="T210" i="50"/>
  <c r="O210" i="50"/>
  <c r="AP206" i="50"/>
  <c r="C208" i="50"/>
  <c r="AJ208" i="50"/>
  <c r="S209" i="50"/>
  <c r="Z209" i="50" s="1"/>
  <c r="C198" i="32"/>
  <c r="AJ198" i="32"/>
  <c r="W208" i="50"/>
  <c r="W198" i="32"/>
  <c r="X198" i="32" s="1"/>
  <c r="X207" i="50"/>
  <c r="V208" i="50"/>
  <c r="AF253" i="69"/>
  <c r="Q253" i="69"/>
  <c r="AC251" i="69"/>
  <c r="AD251" i="69" s="1"/>
  <c r="AH207" i="50"/>
  <c r="AI207" i="50" s="1"/>
  <c r="AB252" i="69"/>
  <c r="AG252" i="69"/>
  <c r="AO254" i="69"/>
  <c r="O255" i="69"/>
  <c r="AK210" i="50"/>
  <c r="AK199" i="32"/>
  <c r="AK200" i="32"/>
  <c r="AM209" i="50"/>
  <c r="AL197" i="32"/>
  <c r="AL207" i="50"/>
  <c r="AI196" i="32"/>
  <c r="AN196" i="32" s="1"/>
  <c r="AY253" i="69"/>
  <c r="AH253" i="69"/>
  <c r="V198" i="32"/>
  <c r="A199" i="32"/>
  <c r="B199" i="32"/>
  <c r="R199" i="32" s="1"/>
  <c r="A200" i="32"/>
  <c r="B200" i="32"/>
  <c r="R200" i="32" s="1"/>
  <c r="F210" i="50"/>
  <c r="U210" i="50" s="1"/>
  <c r="L210" i="50"/>
  <c r="K210" i="50"/>
  <c r="H210" i="50"/>
  <c r="J210" i="50"/>
  <c r="I210" i="50"/>
  <c r="B210" i="50"/>
  <c r="R210" i="50" s="1"/>
  <c r="M210" i="50"/>
  <c r="A210" i="50"/>
  <c r="N210" i="50"/>
  <c r="G210" i="50"/>
  <c r="G199" i="32"/>
  <c r="F199" i="32"/>
  <c r="U199" i="32" s="1"/>
  <c r="L199" i="32"/>
  <c r="M199" i="32"/>
  <c r="N199" i="32"/>
  <c r="H199" i="32"/>
  <c r="I199" i="32"/>
  <c r="K199" i="32"/>
  <c r="J199" i="32"/>
  <c r="J200" i="32"/>
  <c r="K200" i="32"/>
  <c r="L200" i="32"/>
  <c r="M200" i="32"/>
  <c r="F200" i="32"/>
  <c r="U200" i="32" s="1"/>
  <c r="N200" i="32"/>
  <c r="G200" i="32"/>
  <c r="H200" i="32"/>
  <c r="I200" i="32"/>
  <c r="AR255" i="67" a="1"/>
  <c r="AR255" i="67" s="1"/>
  <c r="B256" i="69"/>
  <c r="L256" i="69" s="1"/>
  <c r="AE253" i="69"/>
  <c r="R253" i="69"/>
  <c r="S253" i="69" s="1"/>
  <c r="Y253" i="69" s="1"/>
  <c r="D254" i="69"/>
  <c r="E254" i="69" s="1"/>
  <c r="F254" i="69" s="1"/>
  <c r="G254" i="69" s="1"/>
  <c r="H254" i="69" s="1"/>
  <c r="I254" i="69" s="1"/>
  <c r="J254" i="69" s="1"/>
  <c r="K254" i="69" s="1"/>
  <c r="M254" i="69" s="1"/>
  <c r="C255" i="69"/>
  <c r="P255" i="69" s="1"/>
  <c r="AL200" i="11" a="1"/>
  <c r="AL200" i="11" s="1"/>
  <c r="E201" i="32" s="1"/>
  <c r="AP210" i="59" a="1"/>
  <c r="AP210" i="59" s="1"/>
  <c r="E211" i="50" s="1"/>
  <c r="AQ100" i="59" a="1"/>
  <c r="AQ100" i="59" s="1"/>
  <c r="AM85" i="11" a="1"/>
  <c r="AM85" i="11" s="1"/>
  <c r="AD209" i="50" l="1"/>
  <c r="AG209" i="50" s="1"/>
  <c r="AP255" i="69"/>
  <c r="N255" i="69"/>
  <c r="U255" i="69" s="1"/>
  <c r="Q210" i="50"/>
  <c r="P210" i="50" s="1"/>
  <c r="Q199" i="32"/>
  <c r="P199" i="32" s="1"/>
  <c r="Q200" i="32"/>
  <c r="P200" i="32" s="1"/>
  <c r="T201" i="32"/>
  <c r="O201" i="32"/>
  <c r="T211" i="50"/>
  <c r="O211" i="50"/>
  <c r="AP207" i="50"/>
  <c r="AM200" i="32"/>
  <c r="AM199" i="32"/>
  <c r="AJ209" i="50"/>
  <c r="C209" i="50"/>
  <c r="S210" i="50"/>
  <c r="Z210" i="50" s="1"/>
  <c r="S199" i="32"/>
  <c r="Z199" i="32" s="1"/>
  <c r="S200" i="32"/>
  <c r="Z200" i="32" s="1"/>
  <c r="W209" i="50"/>
  <c r="X208" i="50"/>
  <c r="V209" i="50"/>
  <c r="AF254" i="69"/>
  <c r="Q254" i="69"/>
  <c r="AC252" i="69"/>
  <c r="AD252" i="69" s="1"/>
  <c r="AH208" i="50"/>
  <c r="AI208" i="50" s="1"/>
  <c r="AB253" i="69"/>
  <c r="AG253" i="69"/>
  <c r="O256" i="69"/>
  <c r="AO255" i="69"/>
  <c r="AK211" i="50"/>
  <c r="AK201" i="32"/>
  <c r="AM210" i="50"/>
  <c r="AL198" i="32"/>
  <c r="AI197" i="32"/>
  <c r="AN197" i="32" s="1"/>
  <c r="AL208" i="50"/>
  <c r="AY254" i="69"/>
  <c r="AH254" i="69"/>
  <c r="A201" i="32"/>
  <c r="B201" i="32"/>
  <c r="R201" i="32" s="1"/>
  <c r="M211" i="50"/>
  <c r="F211" i="50"/>
  <c r="U211" i="50" s="1"/>
  <c r="G211" i="50"/>
  <c r="I211" i="50"/>
  <c r="B211" i="50"/>
  <c r="R211" i="50" s="1"/>
  <c r="H211" i="50"/>
  <c r="L211" i="50"/>
  <c r="N211" i="50"/>
  <c r="J211" i="50"/>
  <c r="K211" i="50"/>
  <c r="A211" i="50"/>
  <c r="H201" i="32"/>
  <c r="I201" i="32"/>
  <c r="J201" i="32"/>
  <c r="K201" i="32"/>
  <c r="L201" i="32"/>
  <c r="M201" i="32"/>
  <c r="F201" i="32"/>
  <c r="U201" i="32" s="1"/>
  <c r="G201" i="32"/>
  <c r="N201" i="32"/>
  <c r="D255" i="69"/>
  <c r="E255" i="69" s="1"/>
  <c r="F255" i="69" s="1"/>
  <c r="G255" i="69" s="1"/>
  <c r="H255" i="69" s="1"/>
  <c r="I255" i="69" s="1"/>
  <c r="J255" i="69" s="1"/>
  <c r="K255" i="69" s="1"/>
  <c r="M255" i="69" s="1"/>
  <c r="AE254" i="69"/>
  <c r="R254" i="69"/>
  <c r="S254" i="69" s="1"/>
  <c r="Y254" i="69" s="1"/>
  <c r="C256" i="69"/>
  <c r="P256" i="69" s="1"/>
  <c r="AR256" i="67" a="1"/>
  <c r="AR256" i="67" s="1"/>
  <c r="AR257" i="67" s="1" a="1"/>
  <c r="AR257" i="67" s="1"/>
  <c r="B257" i="69"/>
  <c r="L257" i="69" s="1"/>
  <c r="AL201" i="11" a="1"/>
  <c r="AL201" i="11" s="1"/>
  <c r="E202" i="32" s="1"/>
  <c r="AP211" i="59" a="1"/>
  <c r="AP211" i="59" s="1"/>
  <c r="E212" i="50" s="1"/>
  <c r="AQ101" i="59" a="1"/>
  <c r="AQ101" i="59" s="1"/>
  <c r="AM86" i="11" a="1"/>
  <c r="AM86" i="11" s="1"/>
  <c r="AD200" i="32" l="1"/>
  <c r="AG200" i="32" s="1"/>
  <c r="AH200" i="32" s="1"/>
  <c r="AD199" i="32"/>
  <c r="AG199" i="32" s="1"/>
  <c r="AH199" i="32" s="1"/>
  <c r="AD210" i="50"/>
  <c r="AG210" i="50" s="1"/>
  <c r="AP256" i="69"/>
  <c r="N256" i="69"/>
  <c r="U256" i="69" s="1"/>
  <c r="Q211" i="50"/>
  <c r="P211" i="50" s="1"/>
  <c r="Q201" i="32"/>
  <c r="P201" i="32" s="1"/>
  <c r="T202" i="32"/>
  <c r="O202" i="32"/>
  <c r="T212" i="50"/>
  <c r="O212" i="50"/>
  <c r="AP208" i="50"/>
  <c r="AM201" i="32"/>
  <c r="C210" i="50"/>
  <c r="AJ210" i="50"/>
  <c r="S211" i="50"/>
  <c r="Z211" i="50" s="1"/>
  <c r="C200" i="32"/>
  <c r="AJ200" i="32"/>
  <c r="W199" i="32"/>
  <c r="X199" i="32" s="1"/>
  <c r="C199" i="32"/>
  <c r="AJ199" i="32"/>
  <c r="S201" i="32"/>
  <c r="Z201" i="32" s="1"/>
  <c r="W210" i="50"/>
  <c r="W200" i="32"/>
  <c r="X200" i="32" s="1"/>
  <c r="X209" i="50"/>
  <c r="V210" i="50"/>
  <c r="V199" i="32"/>
  <c r="AF255" i="69"/>
  <c r="Q255" i="69"/>
  <c r="AC253" i="69"/>
  <c r="AD253" i="69" s="1"/>
  <c r="AH209" i="50"/>
  <c r="AI209" i="50" s="1"/>
  <c r="AB254" i="69"/>
  <c r="AG254" i="69"/>
  <c r="O257" i="69"/>
  <c r="AO256" i="69"/>
  <c r="AK212" i="50"/>
  <c r="AK202" i="32"/>
  <c r="AM211" i="50"/>
  <c r="AL209" i="50"/>
  <c r="AI198" i="32"/>
  <c r="AN198" i="32" s="1"/>
  <c r="AY255" i="69"/>
  <c r="AH255" i="69"/>
  <c r="V200" i="32"/>
  <c r="A202" i="32"/>
  <c r="B202" i="32"/>
  <c r="R202" i="32" s="1"/>
  <c r="I212" i="50"/>
  <c r="N212" i="50"/>
  <c r="H212" i="50"/>
  <c r="M212" i="50"/>
  <c r="L212" i="50"/>
  <c r="G212" i="50"/>
  <c r="A212" i="50"/>
  <c r="J212" i="50"/>
  <c r="F212" i="50"/>
  <c r="U212" i="50" s="1"/>
  <c r="K212" i="50"/>
  <c r="B212" i="50"/>
  <c r="R212" i="50" s="1"/>
  <c r="F202" i="32"/>
  <c r="U202" i="32" s="1"/>
  <c r="N202" i="32"/>
  <c r="G202" i="32"/>
  <c r="H202" i="32"/>
  <c r="I202" i="32"/>
  <c r="J202" i="32"/>
  <c r="K202" i="32"/>
  <c r="L202" i="32"/>
  <c r="M202" i="32"/>
  <c r="D256" i="69"/>
  <c r="E256" i="69" s="1"/>
  <c r="F256" i="69" s="1"/>
  <c r="G256" i="69" s="1"/>
  <c r="H256" i="69" s="1"/>
  <c r="I256" i="69" s="1"/>
  <c r="J256" i="69" s="1"/>
  <c r="K256" i="69" s="1"/>
  <c r="M256" i="69" s="1"/>
  <c r="C257" i="69"/>
  <c r="R255" i="69"/>
  <c r="S255" i="69" s="1"/>
  <c r="Y255" i="69" s="1"/>
  <c r="AE255" i="69"/>
  <c r="AL202" i="11" a="1"/>
  <c r="AL202" i="11" s="1"/>
  <c r="E203" i="32" s="1"/>
  <c r="AP212" i="59" a="1"/>
  <c r="AP212" i="59" s="1"/>
  <c r="E213" i="50" s="1"/>
  <c r="AQ102" i="59" a="1"/>
  <c r="AQ102" i="59" s="1"/>
  <c r="AM87" i="11" a="1"/>
  <c r="AM87" i="11" s="1"/>
  <c r="N257" i="69" l="1"/>
  <c r="P257" i="69"/>
  <c r="AD201" i="32"/>
  <c r="AG201" i="32" s="1"/>
  <c r="AH201" i="32" s="1"/>
  <c r="AD211" i="50"/>
  <c r="AG211" i="50" s="1"/>
  <c r="Q212" i="50"/>
  <c r="P212" i="50" s="1"/>
  <c r="Q202" i="32"/>
  <c r="P202" i="32" s="1"/>
  <c r="AP257" i="69"/>
  <c r="AP258" i="69" s="1"/>
  <c r="T203" i="32"/>
  <c r="O203" i="32"/>
  <c r="T213" i="50"/>
  <c r="O213" i="50"/>
  <c r="AP209" i="50"/>
  <c r="AM202" i="32"/>
  <c r="AJ211" i="50"/>
  <c r="C211" i="50"/>
  <c r="S212" i="50"/>
  <c r="Z212" i="50" s="1"/>
  <c r="W201" i="32"/>
  <c r="X201" i="32" s="1"/>
  <c r="C201" i="32"/>
  <c r="AJ201" i="32"/>
  <c r="S202" i="32"/>
  <c r="AD202" i="32" s="1"/>
  <c r="W211" i="50"/>
  <c r="X210" i="50"/>
  <c r="V211" i="50"/>
  <c r="V201" i="32"/>
  <c r="AF256" i="69"/>
  <c r="Q256" i="69"/>
  <c r="AC254" i="69"/>
  <c r="AD254" i="69" s="1"/>
  <c r="AH210" i="50"/>
  <c r="AI210" i="50" s="1"/>
  <c r="AB255" i="69"/>
  <c r="AG255" i="69"/>
  <c r="AO257" i="69"/>
  <c r="AK213" i="50"/>
  <c r="AK203" i="32"/>
  <c r="AM212" i="50"/>
  <c r="AL199" i="32"/>
  <c r="AL200" i="32"/>
  <c r="AL210" i="50"/>
  <c r="AY256" i="69"/>
  <c r="AH256" i="69"/>
  <c r="A203" i="32"/>
  <c r="B203" i="32"/>
  <c r="R203" i="32" s="1"/>
  <c r="F213" i="50"/>
  <c r="U213" i="50" s="1"/>
  <c r="N213" i="50"/>
  <c r="K213" i="50"/>
  <c r="G213" i="50"/>
  <c r="A213" i="50"/>
  <c r="L213" i="50"/>
  <c r="H213" i="50"/>
  <c r="B213" i="50"/>
  <c r="R213" i="50" s="1"/>
  <c r="I213" i="50"/>
  <c r="J213" i="50"/>
  <c r="M213" i="50"/>
  <c r="L203" i="32"/>
  <c r="M203" i="32"/>
  <c r="F203" i="32"/>
  <c r="U203" i="32" s="1"/>
  <c r="N203" i="32"/>
  <c r="G203" i="32"/>
  <c r="H203" i="32"/>
  <c r="I203" i="32"/>
  <c r="J203" i="32"/>
  <c r="K203" i="32"/>
  <c r="R256" i="69"/>
  <c r="S256" i="69" s="1"/>
  <c r="Y256" i="69" s="1"/>
  <c r="AE256" i="69"/>
  <c r="D257" i="69"/>
  <c r="AL203" i="11" a="1"/>
  <c r="AL203" i="11" s="1"/>
  <c r="E204" i="32" s="1"/>
  <c r="AP213" i="59" a="1"/>
  <c r="AP213" i="59" s="1"/>
  <c r="E214" i="50" s="1"/>
  <c r="AQ103" i="59" a="1"/>
  <c r="AQ103" i="59" s="1"/>
  <c r="AM88" i="11" a="1"/>
  <c r="AM88" i="11" s="1"/>
  <c r="AD212" i="50" l="1"/>
  <c r="AG212" i="50" s="1"/>
  <c r="Q213" i="50"/>
  <c r="P213" i="50" s="1"/>
  <c r="Q203" i="32"/>
  <c r="P203" i="32" s="1"/>
  <c r="U257" i="69"/>
  <c r="Z174" i="22"/>
  <c r="AB174" i="22" s="1"/>
  <c r="Z175" i="22"/>
  <c r="AB175" i="22" s="1"/>
  <c r="Z176" i="22"/>
  <c r="AB176" i="22" s="1"/>
  <c r="Z172" i="22"/>
  <c r="AB172" i="22" s="1"/>
  <c r="Z173" i="22"/>
  <c r="AB173" i="22" s="1"/>
  <c r="T204" i="32"/>
  <c r="O204" i="32"/>
  <c r="T214" i="50"/>
  <c r="O214" i="50"/>
  <c r="AP210" i="50"/>
  <c r="C202" i="32"/>
  <c r="Z202" i="32"/>
  <c r="AM203" i="32"/>
  <c r="C212" i="50"/>
  <c r="AJ212" i="50"/>
  <c r="S213" i="50"/>
  <c r="Z213" i="50" s="1"/>
  <c r="W202" i="32"/>
  <c r="X202" i="32" s="1"/>
  <c r="AJ202" i="32"/>
  <c r="S203" i="32"/>
  <c r="Z203" i="32" s="1"/>
  <c r="W212" i="50"/>
  <c r="X211" i="50"/>
  <c r="V212" i="50"/>
  <c r="V202" i="32"/>
  <c r="AF257" i="69"/>
  <c r="Q257" i="69"/>
  <c r="AC255" i="69"/>
  <c r="AD255" i="69" s="1"/>
  <c r="AH211" i="50"/>
  <c r="AI211" i="50" s="1"/>
  <c r="AB256" i="69"/>
  <c r="AG256" i="69"/>
  <c r="AK214" i="50"/>
  <c r="AK204" i="32"/>
  <c r="AG202" i="32"/>
  <c r="AH202" i="32" s="1"/>
  <c r="AM213" i="50"/>
  <c r="AL201" i="32"/>
  <c r="AI199" i="32"/>
  <c r="AN199" i="32" s="1"/>
  <c r="AI200" i="32"/>
  <c r="AN200" i="32" s="1"/>
  <c r="AL211" i="50"/>
  <c r="Y172" i="22"/>
  <c r="AA172" i="22" s="1"/>
  <c r="Y173" i="22"/>
  <c r="AA173" i="22" s="1"/>
  <c r="Y175" i="22"/>
  <c r="AA175" i="22" s="1"/>
  <c r="Y174" i="22"/>
  <c r="AA174" i="22" s="1"/>
  <c r="Y176" i="22"/>
  <c r="AA176" i="22" s="1"/>
  <c r="AY257" i="69"/>
  <c r="AH257" i="69"/>
  <c r="A204" i="32"/>
  <c r="B204" i="32"/>
  <c r="R204" i="32" s="1"/>
  <c r="A214" i="50"/>
  <c r="G214" i="50"/>
  <c r="L214" i="50"/>
  <c r="N214" i="50"/>
  <c r="F214" i="50"/>
  <c r="U214" i="50" s="1"/>
  <c r="J214" i="50"/>
  <c r="I214" i="50"/>
  <c r="B214" i="50"/>
  <c r="R214" i="50" s="1"/>
  <c r="M214" i="50"/>
  <c r="K214" i="50"/>
  <c r="H214" i="50"/>
  <c r="J204" i="32"/>
  <c r="K204" i="32"/>
  <c r="L204" i="32"/>
  <c r="M204" i="32"/>
  <c r="F204" i="32"/>
  <c r="U204" i="32" s="1"/>
  <c r="N204" i="32"/>
  <c r="G204" i="32"/>
  <c r="H204" i="32"/>
  <c r="I204" i="32"/>
  <c r="E257" i="69"/>
  <c r="F257" i="69" s="1"/>
  <c r="G257" i="69" s="1"/>
  <c r="H257" i="69" s="1"/>
  <c r="I257" i="69" s="1"/>
  <c r="J257" i="69" s="1"/>
  <c r="K257" i="69" s="1"/>
  <c r="M257" i="69" s="1"/>
  <c r="D258" i="69"/>
  <c r="R257" i="69"/>
  <c r="S257" i="69" s="1"/>
  <c r="AE257" i="69"/>
  <c r="AL204" i="11" a="1"/>
  <c r="AL204" i="11" s="1"/>
  <c r="E205" i="32" s="1"/>
  <c r="AP214" i="59" a="1"/>
  <c r="AP214" i="59" s="1"/>
  <c r="E215" i="50" s="1"/>
  <c r="AQ104" i="59" a="1"/>
  <c r="AQ104" i="59" s="1"/>
  <c r="AM89" i="11" a="1"/>
  <c r="AM89" i="11" s="1"/>
  <c r="Y257" i="69" l="1"/>
  <c r="AD203" i="32"/>
  <c r="AG203" i="32" s="1"/>
  <c r="AH203" i="32" s="1"/>
  <c r="AD213" i="50"/>
  <c r="AG213" i="50" s="1"/>
  <c r="AD173" i="22"/>
  <c r="D22" i="105" s="1"/>
  <c r="F184" i="36"/>
  <c r="H184" i="36" s="1"/>
  <c r="AD174" i="22"/>
  <c r="D30" i="105" s="1"/>
  <c r="F185" i="36"/>
  <c r="H185" i="36" s="1"/>
  <c r="F183" i="36"/>
  <c r="AD176" i="22"/>
  <c r="D42" i="105" s="1"/>
  <c r="D43" i="105" s="1"/>
  <c r="F187" i="36"/>
  <c r="H187" i="36" s="1"/>
  <c r="AD175" i="22"/>
  <c r="D31" i="105" s="1"/>
  <c r="F186" i="36"/>
  <c r="H186" i="36" s="1"/>
  <c r="Q214" i="50"/>
  <c r="P214" i="50" s="1"/>
  <c r="Q204" i="32"/>
  <c r="P204" i="32" s="1"/>
  <c r="T205" i="32"/>
  <c r="O205" i="32"/>
  <c r="T215" i="50"/>
  <c r="O215" i="50"/>
  <c r="AP211" i="50"/>
  <c r="AM204" i="32"/>
  <c r="AJ213" i="50"/>
  <c r="C213" i="50"/>
  <c r="S214" i="50"/>
  <c r="Z214" i="50" s="1"/>
  <c r="AJ203" i="32"/>
  <c r="C203" i="32"/>
  <c r="W203" i="32"/>
  <c r="X203" i="32" s="1"/>
  <c r="S204" i="32"/>
  <c r="AD204" i="32" s="1"/>
  <c r="W213" i="50"/>
  <c r="X212" i="50"/>
  <c r="V213" i="50"/>
  <c r="V203" i="32"/>
  <c r="AC256" i="69"/>
  <c r="AD256" i="69" s="1"/>
  <c r="AH212" i="50"/>
  <c r="AI212" i="50" s="1"/>
  <c r="AK215" i="50"/>
  <c r="AK205" i="32"/>
  <c r="AM214" i="50"/>
  <c r="AL202" i="32"/>
  <c r="AI201" i="32"/>
  <c r="AN201" i="32" s="1"/>
  <c r="AL212" i="50"/>
  <c r="AC176" i="22"/>
  <c r="E187" i="36"/>
  <c r="G187" i="36" s="1"/>
  <c r="AC174" i="22"/>
  <c r="E185" i="36"/>
  <c r="G185" i="36" s="1"/>
  <c r="AC175" i="22"/>
  <c r="E186" i="36"/>
  <c r="G186" i="36" s="1"/>
  <c r="E184" i="36"/>
  <c r="G184" i="36" s="1"/>
  <c r="AC173" i="22"/>
  <c r="AC172" i="22"/>
  <c r="E183" i="36"/>
  <c r="G183" i="36" s="1"/>
  <c r="Q258" i="69"/>
  <c r="A205" i="32"/>
  <c r="B205" i="32"/>
  <c r="R205" i="32" s="1"/>
  <c r="K215" i="50"/>
  <c r="I215" i="50"/>
  <c r="M215" i="50"/>
  <c r="H215" i="50"/>
  <c r="J215" i="50"/>
  <c r="L215" i="50"/>
  <c r="B215" i="50"/>
  <c r="R215" i="50" s="1"/>
  <c r="A215" i="50"/>
  <c r="F215" i="50"/>
  <c r="U215" i="50" s="1"/>
  <c r="G215" i="50"/>
  <c r="N215" i="50"/>
  <c r="H205" i="32"/>
  <c r="I205" i="32"/>
  <c r="J205" i="32"/>
  <c r="K205" i="32"/>
  <c r="L205" i="32"/>
  <c r="M205" i="32"/>
  <c r="F205" i="32"/>
  <c r="U205" i="32" s="1"/>
  <c r="G205" i="32"/>
  <c r="N205" i="32"/>
  <c r="AL205" i="11" a="1"/>
  <c r="AL205" i="11" s="1"/>
  <c r="E206" i="32" s="1"/>
  <c r="AP215" i="59" a="1"/>
  <c r="AP215" i="59" s="1"/>
  <c r="E216" i="50" s="1"/>
  <c r="AQ105" i="59" a="1"/>
  <c r="AQ105" i="59" s="1"/>
  <c r="AM90" i="11" a="1"/>
  <c r="AM90" i="11" s="1"/>
  <c r="D32" i="105" l="1"/>
  <c r="AD214" i="50"/>
  <c r="AG214" i="50" s="1"/>
  <c r="Q215" i="50"/>
  <c r="P215" i="50" s="1"/>
  <c r="Q205" i="32"/>
  <c r="P205" i="32" s="1"/>
  <c r="T206" i="32"/>
  <c r="O206" i="32"/>
  <c r="T216" i="50"/>
  <c r="O216" i="50"/>
  <c r="AP212" i="50"/>
  <c r="C204" i="32"/>
  <c r="Z204" i="32"/>
  <c r="AM205" i="32"/>
  <c r="C214" i="50"/>
  <c r="AJ214" i="50"/>
  <c r="S215" i="50"/>
  <c r="Z215" i="50" s="1"/>
  <c r="W204" i="32"/>
  <c r="X204" i="32" s="1"/>
  <c r="S205" i="32"/>
  <c r="Z205" i="32" s="1"/>
  <c r="AJ204" i="32"/>
  <c r="W214" i="50"/>
  <c r="X213" i="50"/>
  <c r="V214" i="50"/>
  <c r="V204" i="32"/>
  <c r="AH213" i="50"/>
  <c r="AI213" i="50" s="1"/>
  <c r="AB257" i="69"/>
  <c r="AG257" i="69"/>
  <c r="AK216" i="50"/>
  <c r="AK206" i="32"/>
  <c r="AG204" i="32"/>
  <c r="AH204" i="32" s="1"/>
  <c r="AM215" i="50"/>
  <c r="AL203" i="32"/>
  <c r="AI202" i="32"/>
  <c r="AN202" i="32" s="1"/>
  <c r="AL213" i="50"/>
  <c r="AO258" i="69"/>
  <c r="A206" i="32"/>
  <c r="B206" i="32"/>
  <c r="R206" i="32" s="1"/>
  <c r="L216" i="50"/>
  <c r="M216" i="50"/>
  <c r="N216" i="50"/>
  <c r="G216" i="50"/>
  <c r="F216" i="50"/>
  <c r="U216" i="50" s="1"/>
  <c r="I216" i="50"/>
  <c r="H216" i="50"/>
  <c r="J216" i="50"/>
  <c r="K216" i="50"/>
  <c r="A216" i="50"/>
  <c r="B216" i="50"/>
  <c r="R216" i="50" s="1"/>
  <c r="F206" i="32"/>
  <c r="U206" i="32" s="1"/>
  <c r="N206" i="32"/>
  <c r="G206" i="32"/>
  <c r="H206" i="32"/>
  <c r="I206" i="32"/>
  <c r="J206" i="32"/>
  <c r="K206" i="32"/>
  <c r="L206" i="32"/>
  <c r="M206" i="32"/>
  <c r="AL206" i="11" a="1"/>
  <c r="AL206" i="11" s="1"/>
  <c r="E207" i="32" s="1"/>
  <c r="AP216" i="59" a="1"/>
  <c r="AP216" i="59" s="1"/>
  <c r="E217" i="50" s="1"/>
  <c r="AQ106" i="59" a="1"/>
  <c r="AQ106" i="59" s="1"/>
  <c r="AM91" i="11" a="1"/>
  <c r="AM91" i="11" s="1"/>
  <c r="AD205" i="32" l="1"/>
  <c r="AG205" i="32" s="1"/>
  <c r="AH205" i="32" s="1"/>
  <c r="AD215" i="50"/>
  <c r="AG215" i="50" s="1"/>
  <c r="Q216" i="50"/>
  <c r="P216" i="50" s="1"/>
  <c r="Q206" i="32"/>
  <c r="P206" i="32" s="1"/>
  <c r="T207" i="32"/>
  <c r="O207" i="32"/>
  <c r="O217" i="50"/>
  <c r="T217" i="50"/>
  <c r="AP213" i="50"/>
  <c r="AM206" i="32"/>
  <c r="AJ215" i="50"/>
  <c r="C215" i="50"/>
  <c r="S216" i="50"/>
  <c r="Z216" i="50" s="1"/>
  <c r="AJ205" i="32"/>
  <c r="W205" i="32"/>
  <c r="X205" i="32" s="1"/>
  <c r="C205" i="32"/>
  <c r="S206" i="32"/>
  <c r="AD206" i="32" s="1"/>
  <c r="W215" i="50"/>
  <c r="X214" i="50"/>
  <c r="V215" i="50"/>
  <c r="V205" i="32"/>
  <c r="AC257" i="69"/>
  <c r="Y2" i="69" s="1"/>
  <c r="AH214" i="50"/>
  <c r="AI214" i="50" s="1"/>
  <c r="AK217" i="50"/>
  <c r="AK207" i="32"/>
  <c r="AM216" i="50"/>
  <c r="AL204" i="32"/>
  <c r="AI203" i="32"/>
  <c r="AN203" i="32" s="1"/>
  <c r="AL214" i="50"/>
  <c r="A207" i="32"/>
  <c r="B207" i="32"/>
  <c r="R207" i="32" s="1"/>
  <c r="B217" i="50"/>
  <c r="R217" i="50" s="1"/>
  <c r="G217" i="50"/>
  <c r="I217" i="50"/>
  <c r="H217" i="50"/>
  <c r="A217" i="50"/>
  <c r="K217" i="50"/>
  <c r="J217" i="50"/>
  <c r="M217" i="50"/>
  <c r="F217" i="50"/>
  <c r="U217" i="50" s="1"/>
  <c r="L217" i="50"/>
  <c r="N217" i="50"/>
  <c r="L207" i="32"/>
  <c r="M207" i="32"/>
  <c r="F207" i="32"/>
  <c r="U207" i="32" s="1"/>
  <c r="N207" i="32"/>
  <c r="G207" i="32"/>
  <c r="H207" i="32"/>
  <c r="I207" i="32"/>
  <c r="J207" i="32"/>
  <c r="K207" i="32"/>
  <c r="AL207" i="11" a="1"/>
  <c r="AL207" i="11" s="1"/>
  <c r="E208" i="32" s="1"/>
  <c r="AP217" i="59" a="1"/>
  <c r="AP217" i="59" s="1"/>
  <c r="E218" i="50" s="1"/>
  <c r="AQ107" i="59" a="1"/>
  <c r="AQ107" i="59" s="1"/>
  <c r="AM92" i="11" a="1"/>
  <c r="AM92" i="11" s="1"/>
  <c r="AD216" i="50" l="1"/>
  <c r="AG216" i="50" s="1"/>
  <c r="Q217" i="50"/>
  <c r="P217" i="50" s="1"/>
  <c r="Q207" i="32"/>
  <c r="P207" i="32" s="1"/>
  <c r="T208" i="32"/>
  <c r="O208" i="32"/>
  <c r="T218" i="50"/>
  <c r="O218" i="50"/>
  <c r="AP214" i="50"/>
  <c r="C206" i="32"/>
  <c r="Z206" i="32"/>
  <c r="AM207" i="32"/>
  <c r="C216" i="50"/>
  <c r="AJ216" i="50"/>
  <c r="S217" i="50"/>
  <c r="Z217" i="50" s="1"/>
  <c r="S207" i="32"/>
  <c r="Z207" i="32" s="1"/>
  <c r="W206" i="32"/>
  <c r="X206" i="32" s="1"/>
  <c r="AJ206" i="32"/>
  <c r="W216" i="50"/>
  <c r="X215" i="50"/>
  <c r="V216" i="50"/>
  <c r="V206" i="32"/>
  <c r="AD257" i="69"/>
  <c r="AH215" i="50"/>
  <c r="AI215" i="50" s="1"/>
  <c r="AK218" i="50"/>
  <c r="AG206" i="32"/>
  <c r="AH206" i="32" s="1"/>
  <c r="AK208" i="32"/>
  <c r="AM217" i="50"/>
  <c r="AL205" i="32"/>
  <c r="AI204" i="32"/>
  <c r="AN204" i="32" s="1"/>
  <c r="AL215" i="50"/>
  <c r="A208" i="32"/>
  <c r="B208" i="32"/>
  <c r="R208" i="32" s="1"/>
  <c r="F218" i="50"/>
  <c r="U218" i="50" s="1"/>
  <c r="B218" i="50"/>
  <c r="R218" i="50" s="1"/>
  <c r="A218" i="50"/>
  <c r="J218" i="50"/>
  <c r="N218" i="50"/>
  <c r="K218" i="50"/>
  <c r="G218" i="50"/>
  <c r="H218" i="50"/>
  <c r="I218" i="50"/>
  <c r="L218" i="50"/>
  <c r="M218" i="50"/>
  <c r="J208" i="32"/>
  <c r="K208" i="32"/>
  <c r="L208" i="32"/>
  <c r="M208" i="32"/>
  <c r="F208" i="32"/>
  <c r="U208" i="32" s="1"/>
  <c r="N208" i="32"/>
  <c r="G208" i="32"/>
  <c r="H208" i="32"/>
  <c r="I208" i="32"/>
  <c r="AL208" i="11" a="1"/>
  <c r="AL208" i="11" s="1"/>
  <c r="AP218" i="59" a="1"/>
  <c r="AP218" i="59" s="1"/>
  <c r="E219" i="50" s="1"/>
  <c r="AQ108" i="59" a="1"/>
  <c r="AQ108" i="59" s="1"/>
  <c r="AM93" i="11" a="1"/>
  <c r="AM93" i="11" s="1"/>
  <c r="AD207" i="32" l="1"/>
  <c r="AG207" i="32" s="1"/>
  <c r="AH207" i="32" s="1"/>
  <c r="AD217" i="50"/>
  <c r="AG217" i="50" s="1"/>
  <c r="Q218" i="50"/>
  <c r="P218" i="50" s="1"/>
  <c r="Q208" i="32"/>
  <c r="P208" i="32" s="1"/>
  <c r="T219" i="50"/>
  <c r="O219" i="50"/>
  <c r="AP215" i="50"/>
  <c r="AM208" i="32"/>
  <c r="AJ217" i="50"/>
  <c r="C217" i="50"/>
  <c r="S218" i="50"/>
  <c r="Z218" i="50" s="1"/>
  <c r="AJ207" i="32"/>
  <c r="C207" i="32"/>
  <c r="S208" i="32"/>
  <c r="Z208" i="32" s="1"/>
  <c r="W217" i="50"/>
  <c r="W207" i="32"/>
  <c r="X207" i="32" s="1"/>
  <c r="X216" i="50"/>
  <c r="V217" i="50"/>
  <c r="AH216" i="50"/>
  <c r="AI216" i="50" s="1"/>
  <c r="AK219" i="50"/>
  <c r="AM218" i="50"/>
  <c r="AL206" i="32"/>
  <c r="AI205" i="32"/>
  <c r="AN205" i="32" s="1"/>
  <c r="AL216" i="50"/>
  <c r="V207" i="32"/>
  <c r="N219" i="50"/>
  <c r="K219" i="50"/>
  <c r="J219" i="50"/>
  <c r="B219" i="50"/>
  <c r="R219" i="50" s="1"/>
  <c r="A219" i="50"/>
  <c r="L219" i="50"/>
  <c r="M219" i="50"/>
  <c r="I219" i="50"/>
  <c r="F219" i="50"/>
  <c r="U219" i="50" s="1"/>
  <c r="G219" i="50"/>
  <c r="H219" i="50"/>
  <c r="E209" i="32"/>
  <c r="AL209" i="11" a="1"/>
  <c r="AL209" i="11" s="1"/>
  <c r="E210" i="32" s="1"/>
  <c r="AP219" i="59" a="1"/>
  <c r="AP219" i="59" s="1"/>
  <c r="E220" i="50" s="1"/>
  <c r="AQ109" i="59" a="1"/>
  <c r="AQ109" i="59" s="1"/>
  <c r="AM94" i="11" a="1"/>
  <c r="AM94" i="11" s="1"/>
  <c r="AD208" i="32" l="1"/>
  <c r="AG208" i="32" s="1"/>
  <c r="AH208" i="32" s="1"/>
  <c r="AD218" i="50"/>
  <c r="AG218" i="50" s="1"/>
  <c r="Q219" i="50"/>
  <c r="P219" i="50" s="1"/>
  <c r="T209" i="32"/>
  <c r="O209" i="32"/>
  <c r="T210" i="32"/>
  <c r="O210" i="32"/>
  <c r="T220" i="50"/>
  <c r="O220" i="50"/>
  <c r="AP216" i="50"/>
  <c r="AJ218" i="50"/>
  <c r="C218" i="50"/>
  <c r="S219" i="50"/>
  <c r="Z219" i="50" s="1"/>
  <c r="AJ208" i="32"/>
  <c r="C208" i="32"/>
  <c r="W208" i="32"/>
  <c r="X208" i="32" s="1"/>
  <c r="W218" i="50"/>
  <c r="X217" i="50"/>
  <c r="V218" i="50"/>
  <c r="V208" i="32"/>
  <c r="AH217" i="50"/>
  <c r="AI217" i="50" s="1"/>
  <c r="AK220" i="50"/>
  <c r="AK209" i="32"/>
  <c r="AK210" i="32"/>
  <c r="AM219" i="50"/>
  <c r="AL207" i="32"/>
  <c r="AI206" i="32"/>
  <c r="AN206" i="32" s="1"/>
  <c r="AL217" i="50"/>
  <c r="A210" i="32"/>
  <c r="B210" i="32"/>
  <c r="R210" i="32" s="1"/>
  <c r="A209" i="32"/>
  <c r="B209" i="32"/>
  <c r="R209" i="32" s="1"/>
  <c r="I220" i="50"/>
  <c r="J220" i="50"/>
  <c r="G220" i="50"/>
  <c r="A220" i="50"/>
  <c r="L220" i="50"/>
  <c r="H220" i="50"/>
  <c r="N220" i="50"/>
  <c r="F220" i="50"/>
  <c r="U220" i="50" s="1"/>
  <c r="K220" i="50"/>
  <c r="B220" i="50"/>
  <c r="R220" i="50" s="1"/>
  <c r="M220" i="50"/>
  <c r="H209" i="32"/>
  <c r="I209" i="32"/>
  <c r="J209" i="32"/>
  <c r="K209" i="32"/>
  <c r="L209" i="32"/>
  <c r="M209" i="32"/>
  <c r="G209" i="32"/>
  <c r="N209" i="32"/>
  <c r="F209" i="32"/>
  <c r="U209" i="32" s="1"/>
  <c r="F210" i="32"/>
  <c r="U210" i="32" s="1"/>
  <c r="N210" i="32"/>
  <c r="G210" i="32"/>
  <c r="H210" i="32"/>
  <c r="I210" i="32"/>
  <c r="J210" i="32"/>
  <c r="K210" i="32"/>
  <c r="L210" i="32"/>
  <c r="M210" i="32"/>
  <c r="AL210" i="11" a="1"/>
  <c r="AL210" i="11" s="1"/>
  <c r="E211" i="32" s="1"/>
  <c r="AP220" i="59" a="1"/>
  <c r="AP220" i="59" s="1"/>
  <c r="E221" i="50" s="1"/>
  <c r="AQ110" i="59" a="1"/>
  <c r="AQ110" i="59" s="1"/>
  <c r="AM95" i="11" a="1"/>
  <c r="AM95" i="11" s="1"/>
  <c r="AD219" i="50" l="1"/>
  <c r="AG219" i="50" s="1"/>
  <c r="Q220" i="50"/>
  <c r="P220" i="50" s="1"/>
  <c r="Q209" i="32"/>
  <c r="P209" i="32" s="1"/>
  <c r="Q210" i="32"/>
  <c r="P210" i="32" s="1"/>
  <c r="T211" i="32"/>
  <c r="O211" i="32"/>
  <c r="T221" i="50"/>
  <c r="O221" i="50"/>
  <c r="AP217" i="50"/>
  <c r="AM210" i="32"/>
  <c r="AM209" i="32"/>
  <c r="C219" i="50"/>
  <c r="AJ219" i="50"/>
  <c r="S220" i="50"/>
  <c r="Z220" i="50" s="1"/>
  <c r="S209" i="32"/>
  <c r="Z209" i="32" s="1"/>
  <c r="S210" i="32"/>
  <c r="AD210" i="32" s="1"/>
  <c r="W219" i="50"/>
  <c r="X218" i="50"/>
  <c r="V219" i="50"/>
  <c r="AH218" i="50"/>
  <c r="AI218" i="50" s="1"/>
  <c r="AK221" i="50"/>
  <c r="AK211" i="32"/>
  <c r="AM220" i="50"/>
  <c r="AL208" i="32"/>
  <c r="AI207" i="32"/>
  <c r="AN207" i="32" s="1"/>
  <c r="AL218" i="50"/>
  <c r="A211" i="32"/>
  <c r="B211" i="32"/>
  <c r="R211" i="32" s="1"/>
  <c r="N221" i="50"/>
  <c r="G221" i="50"/>
  <c r="M221" i="50"/>
  <c r="F221" i="50"/>
  <c r="U221" i="50" s="1"/>
  <c r="K221" i="50"/>
  <c r="B221" i="50"/>
  <c r="R221" i="50" s="1"/>
  <c r="A221" i="50"/>
  <c r="L221" i="50"/>
  <c r="H221" i="50"/>
  <c r="I221" i="50"/>
  <c r="J221" i="50"/>
  <c r="L211" i="32"/>
  <c r="M211" i="32"/>
  <c r="F211" i="32"/>
  <c r="U211" i="32" s="1"/>
  <c r="N211" i="32"/>
  <c r="G211" i="32"/>
  <c r="H211" i="32"/>
  <c r="I211" i="32"/>
  <c r="J211" i="32"/>
  <c r="K211" i="32"/>
  <c r="AL211" i="11" a="1"/>
  <c r="AL211" i="11" s="1"/>
  <c r="E212" i="32" s="1"/>
  <c r="AP221" i="59" a="1"/>
  <c r="AP221" i="59" s="1"/>
  <c r="E222" i="50" s="1"/>
  <c r="AQ111" i="59" a="1"/>
  <c r="AQ111" i="59" s="1"/>
  <c r="AM96" i="11" a="1"/>
  <c r="AM96" i="11" s="1"/>
  <c r="AD209" i="32" l="1"/>
  <c r="AG209" i="32" s="1"/>
  <c r="AH209" i="32" s="1"/>
  <c r="AD220" i="50"/>
  <c r="AG220" i="50" s="1"/>
  <c r="Q221" i="50"/>
  <c r="P221" i="50" s="1"/>
  <c r="Q211" i="32"/>
  <c r="P211" i="32" s="1"/>
  <c r="T212" i="32"/>
  <c r="O212" i="32"/>
  <c r="T222" i="50"/>
  <c r="O222" i="50"/>
  <c r="AP218" i="50"/>
  <c r="AJ210" i="32"/>
  <c r="Z210" i="32"/>
  <c r="AM211" i="32"/>
  <c r="AJ220" i="50"/>
  <c r="C220" i="50"/>
  <c r="S221" i="50"/>
  <c r="Z221" i="50" s="1"/>
  <c r="AJ209" i="32"/>
  <c r="C209" i="32"/>
  <c r="W209" i="32"/>
  <c r="X209" i="32" s="1"/>
  <c r="C210" i="32"/>
  <c r="S211" i="32"/>
  <c r="AD211" i="32" s="1"/>
  <c r="W220" i="50"/>
  <c r="W210" i="32"/>
  <c r="X210" i="32" s="1"/>
  <c r="X219" i="50"/>
  <c r="V220" i="50"/>
  <c r="V209" i="32"/>
  <c r="AH219" i="50"/>
  <c r="AI219" i="50" s="1"/>
  <c r="AK222" i="50"/>
  <c r="AK212" i="32"/>
  <c r="AG210" i="32"/>
  <c r="AH210" i="32" s="1"/>
  <c r="AM221" i="50"/>
  <c r="AI208" i="32"/>
  <c r="AN208" i="32" s="1"/>
  <c r="AL219" i="50"/>
  <c r="V210" i="32"/>
  <c r="A212" i="32"/>
  <c r="B212" i="32"/>
  <c r="R212" i="32" s="1"/>
  <c r="H222" i="50"/>
  <c r="L222" i="50"/>
  <c r="M222" i="50"/>
  <c r="K222" i="50"/>
  <c r="A222" i="50"/>
  <c r="F222" i="50"/>
  <c r="U222" i="50" s="1"/>
  <c r="G222" i="50"/>
  <c r="J222" i="50"/>
  <c r="B222" i="50"/>
  <c r="R222" i="50" s="1"/>
  <c r="N222" i="50"/>
  <c r="I222" i="50"/>
  <c r="J212" i="32"/>
  <c r="K212" i="32"/>
  <c r="L212" i="32"/>
  <c r="M212" i="32"/>
  <c r="F212" i="32"/>
  <c r="U212" i="32" s="1"/>
  <c r="N212" i="32"/>
  <c r="I212" i="32"/>
  <c r="H212" i="32"/>
  <c r="G212" i="32"/>
  <c r="AL212" i="11" a="1"/>
  <c r="AL212" i="11" s="1"/>
  <c r="E213" i="32" s="1"/>
  <c r="AP222" i="59" a="1"/>
  <c r="AP222" i="59" s="1"/>
  <c r="E223" i="50" s="1"/>
  <c r="AQ112" i="59" a="1"/>
  <c r="AQ112" i="59" s="1"/>
  <c r="AM97" i="11" a="1"/>
  <c r="AM97" i="11" s="1"/>
  <c r="AD221" i="50" l="1"/>
  <c r="AG221" i="50" s="1"/>
  <c r="Q222" i="50"/>
  <c r="P222" i="50" s="1"/>
  <c r="Q212" i="32"/>
  <c r="P212" i="32" s="1"/>
  <c r="T213" i="32"/>
  <c r="O213" i="32"/>
  <c r="T223" i="50"/>
  <c r="O223" i="50"/>
  <c r="AP219" i="50"/>
  <c r="C211" i="32"/>
  <c r="Z211" i="32"/>
  <c r="AM212" i="32"/>
  <c r="C221" i="50"/>
  <c r="S222" i="50"/>
  <c r="Z222" i="50" s="1"/>
  <c r="AJ221" i="50"/>
  <c r="AJ211" i="32"/>
  <c r="S212" i="32"/>
  <c r="Z212" i="32" s="1"/>
  <c r="W221" i="50"/>
  <c r="W211" i="32"/>
  <c r="X211" i="32" s="1"/>
  <c r="X220" i="50"/>
  <c r="V221" i="50"/>
  <c r="AH220" i="50"/>
  <c r="AI220" i="50" s="1"/>
  <c r="AK223" i="50"/>
  <c r="AK213" i="32"/>
  <c r="AG211" i="32"/>
  <c r="AH211" i="32" s="1"/>
  <c r="AM222" i="50"/>
  <c r="AL210" i="32"/>
  <c r="AL209" i="32"/>
  <c r="AL220" i="50"/>
  <c r="V211" i="32"/>
  <c r="A213" i="32"/>
  <c r="B213" i="32"/>
  <c r="R213" i="32" s="1"/>
  <c r="G223" i="50"/>
  <c r="K223" i="50"/>
  <c r="J223" i="50"/>
  <c r="I223" i="50"/>
  <c r="F223" i="50"/>
  <c r="U223" i="50" s="1"/>
  <c r="B223" i="50"/>
  <c r="R223" i="50" s="1"/>
  <c r="H223" i="50"/>
  <c r="M223" i="50"/>
  <c r="A223" i="50"/>
  <c r="N223" i="50"/>
  <c r="L223" i="50"/>
  <c r="H213" i="32"/>
  <c r="I213" i="32"/>
  <c r="J213" i="32"/>
  <c r="K213" i="32"/>
  <c r="L213" i="32"/>
  <c r="F213" i="32"/>
  <c r="U213" i="32" s="1"/>
  <c r="G213" i="32"/>
  <c r="M213" i="32"/>
  <c r="N213" i="32"/>
  <c r="AL213" i="11" a="1"/>
  <c r="AL213" i="11" s="1"/>
  <c r="E214" i="32" s="1"/>
  <c r="AP223" i="59" a="1"/>
  <c r="AP223" i="59" s="1"/>
  <c r="E224" i="50" s="1"/>
  <c r="AQ113" i="59" a="1"/>
  <c r="AQ113" i="59" s="1"/>
  <c r="AM98" i="11" a="1"/>
  <c r="AM98" i="11" s="1"/>
  <c r="AD212" i="32" l="1"/>
  <c r="AG212" i="32" s="1"/>
  <c r="AH212" i="32" s="1"/>
  <c r="AD222" i="50"/>
  <c r="AG222" i="50" s="1"/>
  <c r="Q223" i="50"/>
  <c r="P223" i="50" s="1"/>
  <c r="Q213" i="32"/>
  <c r="P213" i="32" s="1"/>
  <c r="T214" i="32"/>
  <c r="O214" i="32"/>
  <c r="T224" i="50"/>
  <c r="O224" i="50"/>
  <c r="AP220" i="50"/>
  <c r="AM213" i="32"/>
  <c r="AJ222" i="50"/>
  <c r="C222" i="50"/>
  <c r="S223" i="50"/>
  <c r="AJ212" i="32"/>
  <c r="C212" i="32"/>
  <c r="W212" i="32"/>
  <c r="X212" i="32" s="1"/>
  <c r="S213" i="32"/>
  <c r="Z213" i="32" s="1"/>
  <c r="W222" i="50"/>
  <c r="X221" i="50"/>
  <c r="V222" i="50"/>
  <c r="V212" i="32"/>
  <c r="AH221" i="50"/>
  <c r="AI221" i="50" s="1"/>
  <c r="AK224" i="50"/>
  <c r="AK214" i="32"/>
  <c r="AM223" i="50"/>
  <c r="AL211" i="32"/>
  <c r="AI209" i="32"/>
  <c r="AN209" i="32" s="1"/>
  <c r="AI210" i="32"/>
  <c r="AN210" i="32" s="1"/>
  <c r="AL221" i="50"/>
  <c r="A214" i="32"/>
  <c r="B214" i="32"/>
  <c r="R214" i="32" s="1"/>
  <c r="L224" i="50"/>
  <c r="N224" i="50"/>
  <c r="J224" i="50"/>
  <c r="F224" i="50"/>
  <c r="U224" i="50" s="1"/>
  <c r="H224" i="50"/>
  <c r="M224" i="50"/>
  <c r="G224" i="50"/>
  <c r="K224" i="50"/>
  <c r="I224" i="50"/>
  <c r="B224" i="50"/>
  <c r="R224" i="50" s="1"/>
  <c r="A224" i="50"/>
  <c r="F214" i="32"/>
  <c r="U214" i="32" s="1"/>
  <c r="N214" i="32"/>
  <c r="G214" i="32"/>
  <c r="H214" i="32"/>
  <c r="I214" i="32"/>
  <c r="J214" i="32"/>
  <c r="L214" i="32"/>
  <c r="M214" i="32"/>
  <c r="K214" i="32"/>
  <c r="AL214" i="11" a="1"/>
  <c r="AL214" i="11" s="1"/>
  <c r="E215" i="32" s="1"/>
  <c r="AP224" i="59" a="1"/>
  <c r="AP224" i="59" s="1"/>
  <c r="E225" i="50" s="1"/>
  <c r="AQ114" i="59" a="1"/>
  <c r="AQ114" i="59" s="1"/>
  <c r="AM99" i="11" a="1"/>
  <c r="AM99" i="11" s="1"/>
  <c r="AD213" i="32" l="1"/>
  <c r="AG213" i="32" s="1"/>
  <c r="AH213" i="32" s="1"/>
  <c r="AD223" i="50"/>
  <c r="AG223" i="50" s="1"/>
  <c r="Q224" i="50"/>
  <c r="P224" i="50" s="1"/>
  <c r="Q214" i="32"/>
  <c r="P214" i="32" s="1"/>
  <c r="T215" i="32"/>
  <c r="O215" i="32"/>
  <c r="O225" i="50"/>
  <c r="T225" i="50"/>
  <c r="AP221" i="50"/>
  <c r="C223" i="50"/>
  <c r="Z223" i="50"/>
  <c r="AM214" i="32"/>
  <c r="S224" i="50"/>
  <c r="Z224" i="50" s="1"/>
  <c r="AJ223" i="50"/>
  <c r="C213" i="32"/>
  <c r="AJ213" i="32"/>
  <c r="S214" i="32"/>
  <c r="Z214" i="32" s="1"/>
  <c r="W223" i="50"/>
  <c r="W213" i="32"/>
  <c r="X213" i="32" s="1"/>
  <c r="X222" i="50"/>
  <c r="V223" i="50"/>
  <c r="AH222" i="50"/>
  <c r="AI222" i="50" s="1"/>
  <c r="AK225" i="50"/>
  <c r="AK215" i="32"/>
  <c r="AM224" i="50"/>
  <c r="AL212" i="32"/>
  <c r="AL222" i="50"/>
  <c r="AI211" i="32"/>
  <c r="AN211" i="32" s="1"/>
  <c r="V213" i="32"/>
  <c r="A215" i="32"/>
  <c r="B215" i="32"/>
  <c r="R215" i="32" s="1"/>
  <c r="F225" i="50"/>
  <c r="U225" i="50" s="1"/>
  <c r="N225" i="50"/>
  <c r="M225" i="50"/>
  <c r="G225" i="50"/>
  <c r="H225" i="50"/>
  <c r="A225" i="50"/>
  <c r="L225" i="50"/>
  <c r="K225" i="50"/>
  <c r="B225" i="50"/>
  <c r="R225" i="50" s="1"/>
  <c r="J225" i="50"/>
  <c r="I225" i="50"/>
  <c r="L215" i="32"/>
  <c r="M215" i="32"/>
  <c r="F215" i="32"/>
  <c r="U215" i="32" s="1"/>
  <c r="N215" i="32"/>
  <c r="G215" i="32"/>
  <c r="H215" i="32"/>
  <c r="I215" i="32"/>
  <c r="J215" i="32"/>
  <c r="K215" i="32"/>
  <c r="AL215" i="11" a="1"/>
  <c r="AL215" i="11" s="1"/>
  <c r="E216" i="32" s="1"/>
  <c r="AP225" i="59" a="1"/>
  <c r="AP225" i="59" s="1"/>
  <c r="E226" i="50" s="1"/>
  <c r="AQ115" i="59" a="1"/>
  <c r="AQ115" i="59" s="1"/>
  <c r="AM100" i="11" a="1"/>
  <c r="AM100" i="11" s="1"/>
  <c r="AD214" i="32" l="1"/>
  <c r="AG214" i="32" s="1"/>
  <c r="AH214" i="32" s="1"/>
  <c r="AD224" i="50"/>
  <c r="AG224" i="50" s="1"/>
  <c r="Q225" i="50"/>
  <c r="P225" i="50" s="1"/>
  <c r="Q215" i="32"/>
  <c r="P215" i="32" s="1"/>
  <c r="T216" i="32"/>
  <c r="O216" i="32"/>
  <c r="T226" i="50"/>
  <c r="O226" i="50"/>
  <c r="AP222" i="50"/>
  <c r="AM215" i="32"/>
  <c r="AJ224" i="50"/>
  <c r="C224" i="50"/>
  <c r="S225" i="50"/>
  <c r="Z225" i="50" s="1"/>
  <c r="AJ214" i="32"/>
  <c r="W214" i="32"/>
  <c r="X214" i="32" s="1"/>
  <c r="C214" i="32"/>
  <c r="S215" i="32"/>
  <c r="AD215" i="32" s="1"/>
  <c r="W224" i="50"/>
  <c r="X223" i="50"/>
  <c r="V224" i="50"/>
  <c r="V214" i="32"/>
  <c r="AH223" i="50"/>
  <c r="AI223" i="50" s="1"/>
  <c r="AK226" i="50"/>
  <c r="AK216" i="32"/>
  <c r="AM225" i="50"/>
  <c r="AL213" i="32"/>
  <c r="AI212" i="32"/>
  <c r="AN212" i="32" s="1"/>
  <c r="AL223" i="50"/>
  <c r="A216" i="32"/>
  <c r="B216" i="32"/>
  <c r="R216" i="32" s="1"/>
  <c r="I226" i="50"/>
  <c r="M226" i="50"/>
  <c r="H226" i="50"/>
  <c r="J226" i="50"/>
  <c r="F226" i="50"/>
  <c r="U226" i="50" s="1"/>
  <c r="G226" i="50"/>
  <c r="L226" i="50"/>
  <c r="B226" i="50"/>
  <c r="R226" i="50" s="1"/>
  <c r="A226" i="50"/>
  <c r="N226" i="50"/>
  <c r="K226" i="50"/>
  <c r="J216" i="32"/>
  <c r="K216" i="32"/>
  <c r="L216" i="32"/>
  <c r="M216" i="32"/>
  <c r="F216" i="32"/>
  <c r="U216" i="32" s="1"/>
  <c r="N216" i="32"/>
  <c r="G216" i="32"/>
  <c r="H216" i="32"/>
  <c r="I216" i="32"/>
  <c r="AL216" i="11" a="1"/>
  <c r="AL216" i="11" s="1"/>
  <c r="E217" i="32" s="1"/>
  <c r="AP226" i="59" a="1"/>
  <c r="AP226" i="59" s="1"/>
  <c r="E227" i="50" s="1"/>
  <c r="AQ116" i="59" a="1"/>
  <c r="AQ116" i="59" s="1"/>
  <c r="AM101" i="11" a="1"/>
  <c r="AM101" i="11" s="1"/>
  <c r="AD225" i="50" l="1"/>
  <c r="AG225" i="50" s="1"/>
  <c r="Q226" i="50"/>
  <c r="P226" i="50" s="1"/>
  <c r="Q216" i="32"/>
  <c r="P216" i="32" s="1"/>
  <c r="T217" i="32"/>
  <c r="O217" i="32"/>
  <c r="T227" i="50"/>
  <c r="O227" i="50"/>
  <c r="AP223" i="50"/>
  <c r="C215" i="32"/>
  <c r="Z215" i="32"/>
  <c r="AM216" i="32"/>
  <c r="C225" i="50"/>
  <c r="AJ225" i="50"/>
  <c r="S226" i="50"/>
  <c r="Z226" i="50" s="1"/>
  <c r="S216" i="32"/>
  <c r="Z216" i="32" s="1"/>
  <c r="AJ215" i="32"/>
  <c r="W215" i="32"/>
  <c r="X215" i="32" s="1"/>
  <c r="W225" i="50"/>
  <c r="X224" i="50"/>
  <c r="V225" i="50"/>
  <c r="V215" i="32"/>
  <c r="AH224" i="50"/>
  <c r="AI224" i="50" s="1"/>
  <c r="AK227" i="50"/>
  <c r="AK217" i="32"/>
  <c r="AG215" i="32"/>
  <c r="AH215" i="32" s="1"/>
  <c r="AM226" i="50"/>
  <c r="AL214" i="32"/>
  <c r="AI213" i="32"/>
  <c r="AN213" i="32" s="1"/>
  <c r="AL224" i="50"/>
  <c r="A217" i="32"/>
  <c r="B217" i="32"/>
  <c r="R217" i="32" s="1"/>
  <c r="M227" i="50"/>
  <c r="K227" i="50"/>
  <c r="N227" i="50"/>
  <c r="F227" i="50"/>
  <c r="U227" i="50" s="1"/>
  <c r="H227" i="50"/>
  <c r="G227" i="50"/>
  <c r="L227" i="50"/>
  <c r="A227" i="50"/>
  <c r="J227" i="50"/>
  <c r="I227" i="50"/>
  <c r="B227" i="50"/>
  <c r="R227" i="50" s="1"/>
  <c r="H217" i="32"/>
  <c r="I217" i="32"/>
  <c r="J217" i="32"/>
  <c r="K217" i="32"/>
  <c r="L217" i="32"/>
  <c r="F217" i="32"/>
  <c r="U217" i="32" s="1"/>
  <c r="G217" i="32"/>
  <c r="M217" i="32"/>
  <c r="N217" i="32"/>
  <c r="AL217" i="11" a="1"/>
  <c r="AL217" i="11" s="1"/>
  <c r="E218" i="32" s="1"/>
  <c r="AP227" i="59" a="1"/>
  <c r="AP227" i="59" s="1"/>
  <c r="E228" i="50" s="1"/>
  <c r="AQ117" i="59" a="1"/>
  <c r="AQ117" i="59" s="1"/>
  <c r="AM102" i="11" a="1"/>
  <c r="AM102" i="11" s="1"/>
  <c r="AD216" i="32" l="1"/>
  <c r="AG216" i="32" s="1"/>
  <c r="AH216" i="32" s="1"/>
  <c r="AD226" i="50"/>
  <c r="AG226" i="50" s="1"/>
  <c r="Q227" i="50"/>
  <c r="P227" i="50" s="1"/>
  <c r="Q217" i="32"/>
  <c r="P217" i="32" s="1"/>
  <c r="T218" i="32"/>
  <c r="O218" i="32"/>
  <c r="T228" i="50"/>
  <c r="O228" i="50"/>
  <c r="AP224" i="50"/>
  <c r="AM217" i="32"/>
  <c r="C226" i="50"/>
  <c r="AJ226" i="50"/>
  <c r="S227" i="50"/>
  <c r="Z227" i="50" s="1"/>
  <c r="AJ216" i="32"/>
  <c r="C216" i="32"/>
  <c r="W216" i="32"/>
  <c r="X216" i="32" s="1"/>
  <c r="S217" i="32"/>
  <c r="AD217" i="32" s="1"/>
  <c r="W226" i="50"/>
  <c r="X225" i="50"/>
  <c r="V226" i="50"/>
  <c r="V216" i="32"/>
  <c r="AH225" i="50"/>
  <c r="AI225" i="50" s="1"/>
  <c r="AK228" i="50"/>
  <c r="AK218" i="32"/>
  <c r="AM227" i="50"/>
  <c r="AL215" i="32"/>
  <c r="AI214" i="32"/>
  <c r="AN214" i="32" s="1"/>
  <c r="AL225" i="50"/>
  <c r="A218" i="32"/>
  <c r="B218" i="32"/>
  <c r="R218" i="32" s="1"/>
  <c r="F228" i="50"/>
  <c r="U228" i="50" s="1"/>
  <c r="H228" i="50"/>
  <c r="J228" i="50"/>
  <c r="I228" i="50"/>
  <c r="A228" i="50"/>
  <c r="L228" i="50"/>
  <c r="B228" i="50"/>
  <c r="R228" i="50" s="1"/>
  <c r="M228" i="50"/>
  <c r="N228" i="50"/>
  <c r="G228" i="50"/>
  <c r="K228" i="50"/>
  <c r="F218" i="32"/>
  <c r="U218" i="32" s="1"/>
  <c r="N218" i="32"/>
  <c r="G218" i="32"/>
  <c r="H218" i="32"/>
  <c r="I218" i="32"/>
  <c r="J218" i="32"/>
  <c r="M218" i="32"/>
  <c r="K218" i="32"/>
  <c r="L218" i="32"/>
  <c r="AL218" i="11" a="1"/>
  <c r="AL218" i="11" s="1"/>
  <c r="AP228" i="59" a="1"/>
  <c r="AP228" i="59" s="1"/>
  <c r="E229" i="50" s="1"/>
  <c r="AQ118" i="59" a="1"/>
  <c r="AQ118" i="59" s="1"/>
  <c r="AM103" i="11" a="1"/>
  <c r="AM103" i="11" s="1"/>
  <c r="AD227" i="50" l="1"/>
  <c r="AG227" i="50" s="1"/>
  <c r="Q228" i="50"/>
  <c r="P228" i="50" s="1"/>
  <c r="Q218" i="32"/>
  <c r="P218" i="32" s="1"/>
  <c r="T229" i="50"/>
  <c r="O229" i="50"/>
  <c r="AP225" i="50"/>
  <c r="C217" i="32"/>
  <c r="Z217" i="32"/>
  <c r="AM218" i="32"/>
  <c r="C227" i="50"/>
  <c r="AJ227" i="50"/>
  <c r="S228" i="50"/>
  <c r="Z228" i="50" s="1"/>
  <c r="S218" i="32"/>
  <c r="Z218" i="32" s="1"/>
  <c r="W217" i="32"/>
  <c r="X217" i="32" s="1"/>
  <c r="AJ217" i="32"/>
  <c r="W227" i="50"/>
  <c r="X226" i="50"/>
  <c r="V227" i="50"/>
  <c r="V217" i="32"/>
  <c r="AH226" i="50"/>
  <c r="AI226" i="50" s="1"/>
  <c r="AK229" i="50"/>
  <c r="AG217" i="32"/>
  <c r="AH217" i="32" s="1"/>
  <c r="AM228" i="50"/>
  <c r="AL216" i="32"/>
  <c r="AI215" i="32"/>
  <c r="AN215" i="32" s="1"/>
  <c r="AL226" i="50"/>
  <c r="A229" i="50"/>
  <c r="M229" i="50"/>
  <c r="I229" i="50"/>
  <c r="J229" i="50"/>
  <c r="H229" i="50"/>
  <c r="L229" i="50"/>
  <c r="B229" i="50"/>
  <c r="R229" i="50" s="1"/>
  <c r="N229" i="50"/>
  <c r="K229" i="50"/>
  <c r="F229" i="50"/>
  <c r="U229" i="50" s="1"/>
  <c r="G229" i="50"/>
  <c r="E219" i="32"/>
  <c r="AL219" i="11" a="1"/>
  <c r="AL219" i="11" s="1"/>
  <c r="E220" i="32" s="1"/>
  <c r="AP229" i="59" a="1"/>
  <c r="AP229" i="59" s="1"/>
  <c r="E230" i="50" s="1"/>
  <c r="AQ119" i="59" a="1"/>
  <c r="AQ119" i="59" s="1"/>
  <c r="AM104" i="11" a="1"/>
  <c r="AM104" i="11" s="1"/>
  <c r="AD218" i="32" l="1"/>
  <c r="AG218" i="32" s="1"/>
  <c r="AH218" i="32" s="1"/>
  <c r="AD228" i="50"/>
  <c r="AG228" i="50" s="1"/>
  <c r="Q229" i="50"/>
  <c r="P229" i="50" s="1"/>
  <c r="T220" i="32"/>
  <c r="O220" i="32"/>
  <c r="T219" i="32"/>
  <c r="O219" i="32"/>
  <c r="T230" i="50"/>
  <c r="O230" i="50"/>
  <c r="AP226" i="50"/>
  <c r="AJ228" i="50"/>
  <c r="C228" i="50"/>
  <c r="S229" i="50"/>
  <c r="Z229" i="50" s="1"/>
  <c r="AJ218" i="32"/>
  <c r="C218" i="32"/>
  <c r="W228" i="50"/>
  <c r="W218" i="32"/>
  <c r="X218" i="32" s="1"/>
  <c r="X227" i="50"/>
  <c r="V228" i="50"/>
  <c r="AH227" i="50"/>
  <c r="AI227" i="50" s="1"/>
  <c r="AK230" i="50"/>
  <c r="AK220" i="32"/>
  <c r="AK219" i="32"/>
  <c r="AM229" i="50"/>
  <c r="AL217" i="32"/>
  <c r="AI216" i="32"/>
  <c r="AN216" i="32" s="1"/>
  <c r="AL227" i="50"/>
  <c r="V218" i="32"/>
  <c r="A220" i="32"/>
  <c r="B220" i="32"/>
  <c r="R220" i="32" s="1"/>
  <c r="A219" i="32"/>
  <c r="B219" i="32"/>
  <c r="R219" i="32" s="1"/>
  <c r="G230" i="50"/>
  <c r="M230" i="50"/>
  <c r="K230" i="50"/>
  <c r="F230" i="50"/>
  <c r="U230" i="50" s="1"/>
  <c r="I230" i="50"/>
  <c r="L230" i="50"/>
  <c r="N230" i="50"/>
  <c r="A230" i="50"/>
  <c r="H230" i="50"/>
  <c r="B230" i="50"/>
  <c r="R230" i="50" s="1"/>
  <c r="J230" i="50"/>
  <c r="J220" i="32"/>
  <c r="K220" i="32"/>
  <c r="L220" i="32"/>
  <c r="M220" i="32"/>
  <c r="F220" i="32"/>
  <c r="U220" i="32" s="1"/>
  <c r="N220" i="32"/>
  <c r="H220" i="32"/>
  <c r="I220" i="32"/>
  <c r="G220" i="32"/>
  <c r="L219" i="32"/>
  <c r="M219" i="32"/>
  <c r="F219" i="32"/>
  <c r="U219" i="32" s="1"/>
  <c r="N219" i="32"/>
  <c r="G219" i="32"/>
  <c r="H219" i="32"/>
  <c r="I219" i="32"/>
  <c r="J219" i="32"/>
  <c r="K219" i="32"/>
  <c r="AL220" i="11" a="1"/>
  <c r="AL220" i="11" s="1"/>
  <c r="AP230" i="59" a="1"/>
  <c r="AP230" i="59" s="1"/>
  <c r="E231" i="50" s="1"/>
  <c r="AQ120" i="59" a="1"/>
  <c r="AQ120" i="59" s="1"/>
  <c r="AM105" i="11" a="1"/>
  <c r="AM105" i="11" s="1"/>
  <c r="AD229" i="50" l="1"/>
  <c r="AG229" i="50" s="1"/>
  <c r="Q230" i="50"/>
  <c r="P230" i="50" s="1"/>
  <c r="Q220" i="32"/>
  <c r="P220" i="32" s="1"/>
  <c r="Q219" i="32"/>
  <c r="P219" i="32" s="1"/>
  <c r="T231" i="50"/>
  <c r="O231" i="50"/>
  <c r="AP227" i="50"/>
  <c r="AM219" i="32"/>
  <c r="AM220" i="32"/>
  <c r="C229" i="50"/>
  <c r="AJ229" i="50"/>
  <c r="S230" i="50"/>
  <c r="Z230" i="50" s="1"/>
  <c r="S219" i="32"/>
  <c r="AD219" i="32" s="1"/>
  <c r="S220" i="32"/>
  <c r="Z220" i="32" s="1"/>
  <c r="W229" i="50"/>
  <c r="X228" i="50"/>
  <c r="V229" i="50"/>
  <c r="AH228" i="50"/>
  <c r="AI228" i="50" s="1"/>
  <c r="AK231" i="50"/>
  <c r="AM230" i="50"/>
  <c r="AL218" i="32"/>
  <c r="AI217" i="32"/>
  <c r="AN217" i="32" s="1"/>
  <c r="AL228" i="50"/>
  <c r="G231" i="50"/>
  <c r="K231" i="50"/>
  <c r="N231" i="50"/>
  <c r="M231" i="50"/>
  <c r="I231" i="50"/>
  <c r="A231" i="50"/>
  <c r="B231" i="50"/>
  <c r="R231" i="50" s="1"/>
  <c r="H231" i="50"/>
  <c r="J231" i="50"/>
  <c r="F231" i="50"/>
  <c r="U231" i="50" s="1"/>
  <c r="L231" i="50"/>
  <c r="E221" i="32"/>
  <c r="AL221" i="11" a="1"/>
  <c r="AL221" i="11" s="1"/>
  <c r="E222" i="32" s="1"/>
  <c r="AP231" i="59" a="1"/>
  <c r="AP231" i="59" s="1"/>
  <c r="E232" i="50" s="1"/>
  <c r="AQ121" i="59" a="1"/>
  <c r="AQ121" i="59" s="1"/>
  <c r="AM106" i="11" a="1"/>
  <c r="AM106" i="11" s="1"/>
  <c r="AD220" i="32" l="1"/>
  <c r="AG220" i="32" s="1"/>
  <c r="AH220" i="32" s="1"/>
  <c r="AD230" i="50"/>
  <c r="AG230" i="50" s="1"/>
  <c r="Q231" i="50"/>
  <c r="P231" i="50" s="1"/>
  <c r="T221" i="32"/>
  <c r="O221" i="32"/>
  <c r="T222" i="32"/>
  <c r="O222" i="32"/>
  <c r="T232" i="50"/>
  <c r="O232" i="50"/>
  <c r="AP228" i="50"/>
  <c r="AJ219" i="32"/>
  <c r="Z219" i="32"/>
  <c r="C230" i="50"/>
  <c r="AJ230" i="50"/>
  <c r="S231" i="50"/>
  <c r="Z231" i="50" s="1"/>
  <c r="C220" i="32"/>
  <c r="AJ220" i="32"/>
  <c r="W219" i="32"/>
  <c r="X219" i="32" s="1"/>
  <c r="C219" i="32"/>
  <c r="W230" i="50"/>
  <c r="W220" i="32"/>
  <c r="X220" i="32" s="1"/>
  <c r="X229" i="50"/>
  <c r="V230" i="50"/>
  <c r="V219" i="32"/>
  <c r="AH229" i="50"/>
  <c r="AI229" i="50" s="1"/>
  <c r="AK232" i="50"/>
  <c r="AK221" i="32"/>
  <c r="AK222" i="32"/>
  <c r="AG219" i="32"/>
  <c r="AH219" i="32" s="1"/>
  <c r="AM231" i="50"/>
  <c r="AI218" i="32"/>
  <c r="AN218" i="32" s="1"/>
  <c r="AL229" i="50"/>
  <c r="V220" i="32"/>
  <c r="A221" i="32"/>
  <c r="B221" i="32"/>
  <c r="R221" i="32" s="1"/>
  <c r="A222" i="32"/>
  <c r="B222" i="32"/>
  <c r="R222" i="32" s="1"/>
  <c r="F232" i="50"/>
  <c r="U232" i="50" s="1"/>
  <c r="M232" i="50"/>
  <c r="J232" i="50"/>
  <c r="N232" i="50"/>
  <c r="B232" i="50"/>
  <c r="R232" i="50" s="1"/>
  <c r="K232" i="50"/>
  <c r="A232" i="50"/>
  <c r="I232" i="50"/>
  <c r="G232" i="50"/>
  <c r="L232" i="50"/>
  <c r="H232" i="50"/>
  <c r="H221" i="32"/>
  <c r="I221" i="32"/>
  <c r="J221" i="32"/>
  <c r="K221" i="32"/>
  <c r="L221" i="32"/>
  <c r="F221" i="32"/>
  <c r="U221" i="32" s="1"/>
  <c r="G221" i="32"/>
  <c r="M221" i="32"/>
  <c r="N221" i="32"/>
  <c r="F222" i="32"/>
  <c r="U222" i="32" s="1"/>
  <c r="N222" i="32"/>
  <c r="G222" i="32"/>
  <c r="H222" i="32"/>
  <c r="I222" i="32"/>
  <c r="J222" i="32"/>
  <c r="K222" i="32"/>
  <c r="L222" i="32"/>
  <c r="M222" i="32"/>
  <c r="AL222" i="11" a="1"/>
  <c r="AL222" i="11" s="1"/>
  <c r="E223" i="32" s="1"/>
  <c r="AP232" i="59" a="1"/>
  <c r="AP232" i="59" s="1"/>
  <c r="E233" i="50" s="1"/>
  <c r="AQ122" i="59" a="1"/>
  <c r="AQ122" i="59" s="1"/>
  <c r="AM107" i="11" a="1"/>
  <c r="AM107" i="11" s="1"/>
  <c r="AD231" i="50" l="1"/>
  <c r="AG231" i="50" s="1"/>
  <c r="Q232" i="50"/>
  <c r="P232" i="50" s="1"/>
  <c r="Q221" i="32"/>
  <c r="P221" i="32" s="1"/>
  <c r="Q222" i="32"/>
  <c r="P222" i="32" s="1"/>
  <c r="T223" i="32"/>
  <c r="O223" i="32"/>
  <c r="O233" i="50"/>
  <c r="T233" i="50"/>
  <c r="AP229" i="50"/>
  <c r="AM222" i="32"/>
  <c r="AM221" i="32"/>
  <c r="AJ231" i="50"/>
  <c r="C231" i="50"/>
  <c r="S232" i="50"/>
  <c r="Z232" i="50" s="1"/>
  <c r="S222" i="32"/>
  <c r="Z222" i="32" s="1"/>
  <c r="S221" i="32"/>
  <c r="Z221" i="32" s="1"/>
  <c r="W231" i="50"/>
  <c r="X230" i="50"/>
  <c r="V231" i="50"/>
  <c r="AH230" i="50"/>
  <c r="AI230" i="50" s="1"/>
  <c r="AK233" i="50"/>
  <c r="AK223" i="32"/>
  <c r="AM232" i="50"/>
  <c r="AL220" i="32"/>
  <c r="AL219" i="32"/>
  <c r="AL230" i="50"/>
  <c r="A223" i="32"/>
  <c r="B223" i="32"/>
  <c r="R223" i="32" s="1"/>
  <c r="G233" i="50"/>
  <c r="A233" i="50"/>
  <c r="F233" i="50"/>
  <c r="U233" i="50" s="1"/>
  <c r="L233" i="50"/>
  <c r="B233" i="50"/>
  <c r="R233" i="50" s="1"/>
  <c r="I233" i="50"/>
  <c r="N233" i="50"/>
  <c r="M233" i="50"/>
  <c r="K233" i="50"/>
  <c r="H233" i="50"/>
  <c r="J233" i="50"/>
  <c r="L223" i="32"/>
  <c r="M223" i="32"/>
  <c r="F223" i="32"/>
  <c r="U223" i="32" s="1"/>
  <c r="N223" i="32"/>
  <c r="G223" i="32"/>
  <c r="H223" i="32"/>
  <c r="I223" i="32"/>
  <c r="J223" i="32"/>
  <c r="K223" i="32"/>
  <c r="AL223" i="11" a="1"/>
  <c r="AL223" i="11" s="1"/>
  <c r="E224" i="32" s="1"/>
  <c r="AP233" i="59" a="1"/>
  <c r="AP233" i="59" s="1"/>
  <c r="E234" i="50" s="1"/>
  <c r="AQ123" i="59" a="1"/>
  <c r="AQ123" i="59" s="1"/>
  <c r="AM108" i="11" a="1"/>
  <c r="AM108" i="11" s="1"/>
  <c r="AD222" i="32" l="1"/>
  <c r="AG222" i="32" s="1"/>
  <c r="AH222" i="32" s="1"/>
  <c r="AD221" i="32"/>
  <c r="AG221" i="32" s="1"/>
  <c r="AH221" i="32" s="1"/>
  <c r="AD232" i="50"/>
  <c r="AG232" i="50" s="1"/>
  <c r="Q233" i="50"/>
  <c r="P233" i="50" s="1"/>
  <c r="Q223" i="32"/>
  <c r="P223" i="32" s="1"/>
  <c r="T224" i="32"/>
  <c r="O224" i="32"/>
  <c r="T234" i="50"/>
  <c r="O234" i="50"/>
  <c r="AP230" i="50"/>
  <c r="AM223" i="32"/>
  <c r="AJ232" i="50"/>
  <c r="C232" i="50"/>
  <c r="S233" i="50"/>
  <c r="Z233" i="50" s="1"/>
  <c r="C221" i="32"/>
  <c r="AJ221" i="32"/>
  <c r="AJ222" i="32"/>
  <c r="C222" i="32"/>
  <c r="S223" i="32"/>
  <c r="Z223" i="32" s="1"/>
  <c r="W232" i="50"/>
  <c r="W222" i="32"/>
  <c r="X222" i="32" s="1"/>
  <c r="W221" i="32"/>
  <c r="X221" i="32" s="1"/>
  <c r="X231" i="50"/>
  <c r="V232" i="50"/>
  <c r="AH231" i="50"/>
  <c r="AI231" i="50" s="1"/>
  <c r="AK234" i="50"/>
  <c r="AK224" i="32"/>
  <c r="AM233" i="50"/>
  <c r="AI220" i="32"/>
  <c r="AN220" i="32" s="1"/>
  <c r="AI219" i="32"/>
  <c r="AN219" i="32" s="1"/>
  <c r="AL231" i="50"/>
  <c r="V222" i="32"/>
  <c r="V221" i="32"/>
  <c r="A224" i="32"/>
  <c r="B224" i="32"/>
  <c r="R224" i="32" s="1"/>
  <c r="B234" i="50"/>
  <c r="R234" i="50" s="1"/>
  <c r="M234" i="50"/>
  <c r="L234" i="50"/>
  <c r="K234" i="50"/>
  <c r="F234" i="50"/>
  <c r="U234" i="50" s="1"/>
  <c r="I234" i="50"/>
  <c r="A234" i="50"/>
  <c r="H234" i="50"/>
  <c r="J234" i="50"/>
  <c r="G234" i="50"/>
  <c r="N234" i="50"/>
  <c r="J224" i="32"/>
  <c r="K224" i="32"/>
  <c r="L224" i="32"/>
  <c r="M224" i="32"/>
  <c r="F224" i="32"/>
  <c r="U224" i="32" s="1"/>
  <c r="N224" i="32"/>
  <c r="G224" i="32"/>
  <c r="I224" i="32"/>
  <c r="H224" i="32"/>
  <c r="AL224" i="11" a="1"/>
  <c r="AL224" i="11" s="1"/>
  <c r="E225" i="32" s="1"/>
  <c r="AP234" i="59" a="1"/>
  <c r="AP234" i="59" s="1"/>
  <c r="E235" i="50" s="1"/>
  <c r="AQ124" i="59" a="1"/>
  <c r="AQ124" i="59" s="1"/>
  <c r="AM109" i="11" a="1"/>
  <c r="AM109" i="11" s="1"/>
  <c r="AD223" i="32" l="1"/>
  <c r="AG223" i="32" s="1"/>
  <c r="AH223" i="32" s="1"/>
  <c r="AD233" i="50"/>
  <c r="AG233" i="50" s="1"/>
  <c r="Q234" i="50"/>
  <c r="P234" i="50" s="1"/>
  <c r="Q224" i="32"/>
  <c r="P224" i="32" s="1"/>
  <c r="T225" i="32"/>
  <c r="O225" i="32"/>
  <c r="T235" i="50"/>
  <c r="O235" i="50"/>
  <c r="AP231" i="50"/>
  <c r="AM224" i="32"/>
  <c r="AJ233" i="50"/>
  <c r="C233" i="50"/>
  <c r="S234" i="50"/>
  <c r="C223" i="32"/>
  <c r="AJ223" i="32"/>
  <c r="W223" i="32"/>
  <c r="X223" i="32" s="1"/>
  <c r="S224" i="32"/>
  <c r="Z224" i="32" s="1"/>
  <c r="W233" i="50"/>
  <c r="X232" i="50"/>
  <c r="V233" i="50"/>
  <c r="V223" i="32"/>
  <c r="AH232" i="50"/>
  <c r="AI232" i="50" s="1"/>
  <c r="AK235" i="50"/>
  <c r="AK225" i="32"/>
  <c r="AM234" i="50"/>
  <c r="AL221" i="32"/>
  <c r="AL222" i="32"/>
  <c r="AL232" i="50"/>
  <c r="A225" i="32"/>
  <c r="B225" i="32"/>
  <c r="R225" i="32" s="1"/>
  <c r="H235" i="50"/>
  <c r="M235" i="50"/>
  <c r="G235" i="50"/>
  <c r="K235" i="50"/>
  <c r="N235" i="50"/>
  <c r="F235" i="50"/>
  <c r="U235" i="50" s="1"/>
  <c r="B235" i="50"/>
  <c r="R235" i="50" s="1"/>
  <c r="I235" i="50"/>
  <c r="J235" i="50"/>
  <c r="A235" i="50"/>
  <c r="L235" i="50"/>
  <c r="H225" i="32"/>
  <c r="I225" i="32"/>
  <c r="J225" i="32"/>
  <c r="K225" i="32"/>
  <c r="L225" i="32"/>
  <c r="G225" i="32"/>
  <c r="M225" i="32"/>
  <c r="N225" i="32"/>
  <c r="F225" i="32"/>
  <c r="U225" i="32" s="1"/>
  <c r="AL225" i="11" a="1"/>
  <c r="AL225" i="11" s="1"/>
  <c r="E226" i="32" s="1"/>
  <c r="AP235" i="59" a="1"/>
  <c r="AP235" i="59" s="1"/>
  <c r="E236" i="50" s="1"/>
  <c r="AQ125" i="59" a="1"/>
  <c r="AQ125" i="59" s="1"/>
  <c r="AM110" i="11" a="1"/>
  <c r="AM110" i="11" s="1"/>
  <c r="AD224" i="32" l="1"/>
  <c r="AG224" i="32" s="1"/>
  <c r="AH224" i="32" s="1"/>
  <c r="AD234" i="50"/>
  <c r="AG234" i="50" s="1"/>
  <c r="Q235" i="50"/>
  <c r="P235" i="50" s="1"/>
  <c r="Q225" i="32"/>
  <c r="P225" i="32" s="1"/>
  <c r="T226" i="32"/>
  <c r="O226" i="32"/>
  <c r="T236" i="50"/>
  <c r="O236" i="50"/>
  <c r="AP232" i="50"/>
  <c r="C234" i="50"/>
  <c r="Z234" i="50"/>
  <c r="AM225" i="32"/>
  <c r="S235" i="50"/>
  <c r="Z235" i="50" s="1"/>
  <c r="AJ234" i="50"/>
  <c r="C224" i="32"/>
  <c r="AJ224" i="32"/>
  <c r="W224" i="32"/>
  <c r="X224" i="32" s="1"/>
  <c r="S225" i="32"/>
  <c r="Z225" i="32" s="1"/>
  <c r="W234" i="50"/>
  <c r="X233" i="50"/>
  <c r="V234" i="50"/>
  <c r="V224" i="32"/>
  <c r="AH233" i="50"/>
  <c r="AI233" i="50" s="1"/>
  <c r="AK236" i="50"/>
  <c r="AK226" i="32"/>
  <c r="AM235" i="50"/>
  <c r="AL223" i="32"/>
  <c r="AI222" i="32"/>
  <c r="AN222" i="32" s="1"/>
  <c r="AL233" i="50"/>
  <c r="AI221" i="32"/>
  <c r="AN221" i="32" s="1"/>
  <c r="A226" i="32"/>
  <c r="B226" i="32"/>
  <c r="R226" i="32" s="1"/>
  <c r="A236" i="50"/>
  <c r="F236" i="50"/>
  <c r="U236" i="50" s="1"/>
  <c r="H236" i="50"/>
  <c r="J236" i="50"/>
  <c r="I236" i="50"/>
  <c r="N236" i="50"/>
  <c r="M236" i="50"/>
  <c r="L236" i="50"/>
  <c r="B236" i="50"/>
  <c r="R236" i="50" s="1"/>
  <c r="G236" i="50"/>
  <c r="K236" i="50"/>
  <c r="F226" i="32"/>
  <c r="U226" i="32" s="1"/>
  <c r="N226" i="32"/>
  <c r="G226" i="32"/>
  <c r="H226" i="32"/>
  <c r="I226" i="32"/>
  <c r="J226" i="32"/>
  <c r="K226" i="32"/>
  <c r="L226" i="32"/>
  <c r="M226" i="32"/>
  <c r="AL226" i="11" a="1"/>
  <c r="AL226" i="11" s="1"/>
  <c r="E227" i="32" s="1"/>
  <c r="AP236" i="59" a="1"/>
  <c r="AP236" i="59" s="1"/>
  <c r="E237" i="50" s="1"/>
  <c r="AQ126" i="59" a="1"/>
  <c r="AQ126" i="59" s="1"/>
  <c r="AM111" i="11" a="1"/>
  <c r="AM111" i="11" s="1"/>
  <c r="AD225" i="32" l="1"/>
  <c r="AG225" i="32" s="1"/>
  <c r="AH225" i="32" s="1"/>
  <c r="AD235" i="50"/>
  <c r="AG235" i="50" s="1"/>
  <c r="Q236" i="50"/>
  <c r="P236" i="50" s="1"/>
  <c r="Q226" i="32"/>
  <c r="P226" i="32" s="1"/>
  <c r="T227" i="32"/>
  <c r="O227" i="32"/>
  <c r="T237" i="50"/>
  <c r="O237" i="50"/>
  <c r="AP233" i="50"/>
  <c r="AM226" i="32"/>
  <c r="AJ235" i="50"/>
  <c r="C235" i="50"/>
  <c r="S236" i="50"/>
  <c r="Z236" i="50" s="1"/>
  <c r="AJ225" i="32"/>
  <c r="W225" i="32"/>
  <c r="X225" i="32" s="1"/>
  <c r="C225" i="32"/>
  <c r="S226" i="32"/>
  <c r="Z226" i="32" s="1"/>
  <c r="W235" i="50"/>
  <c r="X234" i="50"/>
  <c r="V235" i="50"/>
  <c r="V225" i="32"/>
  <c r="AH234" i="50"/>
  <c r="AI234" i="50" s="1"/>
  <c r="AK237" i="50"/>
  <c r="AK227" i="32"/>
  <c r="AM236" i="50"/>
  <c r="AL224" i="32"/>
  <c r="AI223" i="32"/>
  <c r="AN223" i="32" s="1"/>
  <c r="AL234" i="50"/>
  <c r="A227" i="32"/>
  <c r="B227" i="32"/>
  <c r="R227" i="32" s="1"/>
  <c r="A237" i="50"/>
  <c r="M237" i="50"/>
  <c r="I237" i="50"/>
  <c r="H237" i="50"/>
  <c r="G237" i="50"/>
  <c r="K237" i="50"/>
  <c r="J237" i="50"/>
  <c r="L237" i="50"/>
  <c r="B237" i="50"/>
  <c r="R237" i="50" s="1"/>
  <c r="F237" i="50"/>
  <c r="U237" i="50" s="1"/>
  <c r="N237" i="50"/>
  <c r="L227" i="32"/>
  <c r="M227" i="32"/>
  <c r="F227" i="32"/>
  <c r="U227" i="32" s="1"/>
  <c r="N227" i="32"/>
  <c r="G227" i="32"/>
  <c r="H227" i="32"/>
  <c r="J227" i="32"/>
  <c r="K227" i="32"/>
  <c r="I227" i="32"/>
  <c r="AL227" i="11" a="1"/>
  <c r="AL227" i="11" s="1"/>
  <c r="E228" i="32" s="1"/>
  <c r="AP237" i="59" a="1"/>
  <c r="AP237" i="59" s="1"/>
  <c r="E238" i="50" s="1"/>
  <c r="AQ127" i="59" a="1"/>
  <c r="AQ127" i="59" s="1"/>
  <c r="AM112" i="11" a="1"/>
  <c r="AM112" i="11" s="1"/>
  <c r="AD226" i="32" l="1"/>
  <c r="AG226" i="32" s="1"/>
  <c r="AH226" i="32" s="1"/>
  <c r="AD236" i="50"/>
  <c r="AG236" i="50" s="1"/>
  <c r="Q237" i="50"/>
  <c r="P237" i="50" s="1"/>
  <c r="Q227" i="32"/>
  <c r="P227" i="32" s="1"/>
  <c r="T228" i="32"/>
  <c r="O228" i="32"/>
  <c r="T238" i="50"/>
  <c r="O238" i="50"/>
  <c r="AP234" i="50"/>
  <c r="AM227" i="32"/>
  <c r="C236" i="50"/>
  <c r="AJ236" i="50"/>
  <c r="S237" i="50"/>
  <c r="Z237" i="50" s="1"/>
  <c r="C226" i="32"/>
  <c r="W226" i="32"/>
  <c r="X226" i="32" s="1"/>
  <c r="AJ226" i="32"/>
  <c r="S227" i="32"/>
  <c r="AD227" i="32" s="1"/>
  <c r="W236" i="50"/>
  <c r="X235" i="50"/>
  <c r="V236" i="50"/>
  <c r="V226" i="32"/>
  <c r="AH235" i="50"/>
  <c r="AI235" i="50" s="1"/>
  <c r="AK238" i="50"/>
  <c r="AK228" i="32"/>
  <c r="AM237" i="50"/>
  <c r="AL225" i="32"/>
  <c r="AI224" i="32"/>
  <c r="AN224" i="32" s="1"/>
  <c r="AL235" i="50"/>
  <c r="A228" i="32"/>
  <c r="B228" i="32"/>
  <c r="R228" i="32" s="1"/>
  <c r="I238" i="50"/>
  <c r="L238" i="50"/>
  <c r="M238" i="50"/>
  <c r="B238" i="50"/>
  <c r="R238" i="50" s="1"/>
  <c r="A238" i="50"/>
  <c r="K238" i="50"/>
  <c r="H238" i="50"/>
  <c r="F238" i="50"/>
  <c r="U238" i="50" s="1"/>
  <c r="N238" i="50"/>
  <c r="G238" i="50"/>
  <c r="J238" i="50"/>
  <c r="J228" i="32"/>
  <c r="K228" i="32"/>
  <c r="L228" i="32"/>
  <c r="M228" i="32"/>
  <c r="F228" i="32"/>
  <c r="U228" i="32" s="1"/>
  <c r="N228" i="32"/>
  <c r="G228" i="32"/>
  <c r="H228" i="32"/>
  <c r="I228" i="32"/>
  <c r="AL228" i="11" a="1"/>
  <c r="AL228" i="11" s="1"/>
  <c r="AP238" i="59" a="1"/>
  <c r="AP238" i="59" s="1"/>
  <c r="E239" i="50" s="1"/>
  <c r="AQ128" i="59" a="1"/>
  <c r="AQ128" i="59" s="1"/>
  <c r="AM113" i="11" a="1"/>
  <c r="AM113" i="11" s="1"/>
  <c r="AD237" i="50" l="1"/>
  <c r="AG237" i="50" s="1"/>
  <c r="Q238" i="50"/>
  <c r="P238" i="50" s="1"/>
  <c r="Q228" i="32"/>
  <c r="P228" i="32" s="1"/>
  <c r="T239" i="50"/>
  <c r="O239" i="50"/>
  <c r="AP235" i="50"/>
  <c r="C227" i="32"/>
  <c r="Z227" i="32"/>
  <c r="AM228" i="32"/>
  <c r="C237" i="50"/>
  <c r="AJ237" i="50"/>
  <c r="S238" i="50"/>
  <c r="Z238" i="50" s="1"/>
  <c r="W227" i="32"/>
  <c r="X227" i="32" s="1"/>
  <c r="S228" i="32"/>
  <c r="Z228" i="32" s="1"/>
  <c r="AJ227" i="32"/>
  <c r="W237" i="50"/>
  <c r="X236" i="50"/>
  <c r="V237" i="50"/>
  <c r="V227" i="32"/>
  <c r="AH236" i="50"/>
  <c r="AI236" i="50" s="1"/>
  <c r="AK239" i="50"/>
  <c r="AG227" i="32"/>
  <c r="AH227" i="32" s="1"/>
  <c r="AM238" i="50"/>
  <c r="AL226" i="32"/>
  <c r="AL236" i="50"/>
  <c r="AI225" i="32"/>
  <c r="AN225" i="32" s="1"/>
  <c r="B239" i="50"/>
  <c r="R239" i="50" s="1"/>
  <c r="A239" i="50"/>
  <c r="K239" i="50"/>
  <c r="H239" i="50"/>
  <c r="I239" i="50"/>
  <c r="N239" i="50"/>
  <c r="M239" i="50"/>
  <c r="F239" i="50"/>
  <c r="U239" i="50" s="1"/>
  <c r="G239" i="50"/>
  <c r="J239" i="50"/>
  <c r="L239" i="50"/>
  <c r="E229" i="32"/>
  <c r="AL229" i="11" a="1"/>
  <c r="AL229" i="11" s="1"/>
  <c r="E230" i="32" s="1"/>
  <c r="AP239" i="59" a="1"/>
  <c r="AP239" i="59" s="1"/>
  <c r="E240" i="50" s="1"/>
  <c r="AQ129" i="59" a="1"/>
  <c r="AQ129" i="59" s="1"/>
  <c r="AM114" i="11" a="1"/>
  <c r="AM114" i="11" s="1"/>
  <c r="AD228" i="32" l="1"/>
  <c r="AG228" i="32" s="1"/>
  <c r="AH228" i="32" s="1"/>
  <c r="AD238" i="50"/>
  <c r="AG238" i="50" s="1"/>
  <c r="Q239" i="50"/>
  <c r="P239" i="50" s="1"/>
  <c r="T230" i="32"/>
  <c r="O230" i="32"/>
  <c r="T229" i="32"/>
  <c r="O229" i="32"/>
  <c r="T240" i="50"/>
  <c r="O240" i="50"/>
  <c r="AP236" i="50"/>
  <c r="AJ238" i="50"/>
  <c r="C238" i="50"/>
  <c r="S239" i="50"/>
  <c r="Z239" i="50" s="1"/>
  <c r="AJ228" i="32"/>
  <c r="W228" i="32"/>
  <c r="X228" i="32" s="1"/>
  <c r="C228" i="32"/>
  <c r="W238" i="50"/>
  <c r="X237" i="50"/>
  <c r="V238" i="50"/>
  <c r="V228" i="32"/>
  <c r="AH237" i="50"/>
  <c r="AI237" i="50" s="1"/>
  <c r="AK240" i="50"/>
  <c r="AK230" i="32"/>
  <c r="AK229" i="32"/>
  <c r="AL227" i="32"/>
  <c r="AM239" i="50"/>
  <c r="AI226" i="32"/>
  <c r="AN226" i="32" s="1"/>
  <c r="AL237" i="50"/>
  <c r="A230" i="32"/>
  <c r="B230" i="32"/>
  <c r="R230" i="32" s="1"/>
  <c r="A229" i="32"/>
  <c r="B229" i="32"/>
  <c r="R229" i="32" s="1"/>
  <c r="B240" i="50"/>
  <c r="R240" i="50" s="1"/>
  <c r="F240" i="50"/>
  <c r="U240" i="50" s="1"/>
  <c r="N240" i="50"/>
  <c r="M240" i="50"/>
  <c r="H240" i="50"/>
  <c r="J240" i="50"/>
  <c r="G240" i="50"/>
  <c r="K240" i="50"/>
  <c r="L240" i="50"/>
  <c r="A240" i="50"/>
  <c r="I240" i="50"/>
  <c r="H229" i="32"/>
  <c r="I229" i="32"/>
  <c r="J229" i="32"/>
  <c r="K229" i="32"/>
  <c r="L229" i="32"/>
  <c r="M229" i="32"/>
  <c r="N229" i="32"/>
  <c r="F229" i="32"/>
  <c r="U229" i="32" s="1"/>
  <c r="G229" i="32"/>
  <c r="F230" i="32"/>
  <c r="U230" i="32" s="1"/>
  <c r="N230" i="32"/>
  <c r="G230" i="32"/>
  <c r="H230" i="32"/>
  <c r="I230" i="32"/>
  <c r="J230" i="32"/>
  <c r="K230" i="32"/>
  <c r="L230" i="32"/>
  <c r="M230" i="32"/>
  <c r="AL230" i="11" a="1"/>
  <c r="AL230" i="11" s="1"/>
  <c r="AP240" i="59" a="1"/>
  <c r="AP240" i="59" s="1"/>
  <c r="E241" i="50" s="1"/>
  <c r="AQ130" i="59" a="1"/>
  <c r="AQ130" i="59" s="1"/>
  <c r="AM115" i="11" a="1"/>
  <c r="AM115" i="11" s="1"/>
  <c r="AD239" i="50" l="1"/>
  <c r="AG239" i="50" s="1"/>
  <c r="Q240" i="50"/>
  <c r="P240" i="50" s="1"/>
  <c r="Q229" i="32"/>
  <c r="P229" i="32" s="1"/>
  <c r="Q230" i="32"/>
  <c r="P230" i="32" s="1"/>
  <c r="O241" i="50"/>
  <c r="T241" i="50"/>
  <c r="AP237" i="50"/>
  <c r="AM229" i="32"/>
  <c r="AM230" i="32"/>
  <c r="AJ239" i="50"/>
  <c r="C239" i="50"/>
  <c r="S240" i="50"/>
  <c r="Z240" i="50" s="1"/>
  <c r="S229" i="32"/>
  <c r="Z229" i="32" s="1"/>
  <c r="S230" i="32"/>
  <c r="AD230" i="32" s="1"/>
  <c r="W239" i="50"/>
  <c r="X238" i="50"/>
  <c r="V239" i="50"/>
  <c r="AH238" i="50"/>
  <c r="AI238" i="50" s="1"/>
  <c r="AK241" i="50"/>
  <c r="AM240" i="50"/>
  <c r="AL228" i="32"/>
  <c r="AI227" i="32"/>
  <c r="AN227" i="32" s="1"/>
  <c r="AL238" i="50"/>
  <c r="G241" i="50"/>
  <c r="M241" i="50"/>
  <c r="L241" i="50"/>
  <c r="N241" i="50"/>
  <c r="F241" i="50"/>
  <c r="U241" i="50" s="1"/>
  <c r="J241" i="50"/>
  <c r="I241" i="50"/>
  <c r="B241" i="50"/>
  <c r="R241" i="50" s="1"/>
  <c r="K241" i="50"/>
  <c r="H241" i="50"/>
  <c r="A241" i="50"/>
  <c r="E231" i="32"/>
  <c r="AL231" i="11" a="1"/>
  <c r="AL231" i="11" s="1"/>
  <c r="E232" i="32" s="1"/>
  <c r="AP241" i="59" a="1"/>
  <c r="AP241" i="59" s="1"/>
  <c r="E242" i="50" s="1"/>
  <c r="AQ131" i="59" a="1"/>
  <c r="AQ131" i="59" s="1"/>
  <c r="AM116" i="11" a="1"/>
  <c r="AM116" i="11" s="1"/>
  <c r="AD229" i="32" l="1"/>
  <c r="AG229" i="32" s="1"/>
  <c r="AH229" i="32" s="1"/>
  <c r="AD240" i="50"/>
  <c r="AG240" i="50" s="1"/>
  <c r="Q241" i="50"/>
  <c r="P241" i="50" s="1"/>
  <c r="T231" i="32"/>
  <c r="O231" i="32"/>
  <c r="T232" i="32"/>
  <c r="O232" i="32"/>
  <c r="T242" i="50"/>
  <c r="O242" i="50"/>
  <c r="AP238" i="50"/>
  <c r="C230" i="32"/>
  <c r="Z230" i="32"/>
  <c r="AJ240" i="50"/>
  <c r="C240" i="50"/>
  <c r="S241" i="50"/>
  <c r="AJ229" i="32"/>
  <c r="C229" i="32"/>
  <c r="AJ230" i="32"/>
  <c r="W240" i="50"/>
  <c r="W229" i="32"/>
  <c r="X229" i="32" s="1"/>
  <c r="W230" i="32"/>
  <c r="X230" i="32" s="1"/>
  <c r="X239" i="50"/>
  <c r="V240" i="50"/>
  <c r="AH239" i="50"/>
  <c r="AI239" i="50" s="1"/>
  <c r="AK242" i="50"/>
  <c r="AK231" i="32"/>
  <c r="AK232" i="32"/>
  <c r="AG230" i="32"/>
  <c r="AH230" i="32" s="1"/>
  <c r="AM241" i="50"/>
  <c r="AI228" i="32"/>
  <c r="AN228" i="32" s="1"/>
  <c r="AL239" i="50"/>
  <c r="V229" i="32"/>
  <c r="V230" i="32"/>
  <c r="A231" i="32"/>
  <c r="B231" i="32"/>
  <c r="R231" i="32" s="1"/>
  <c r="A232" i="32"/>
  <c r="B232" i="32"/>
  <c r="R232" i="32" s="1"/>
  <c r="B242" i="50"/>
  <c r="R242" i="50" s="1"/>
  <c r="G242" i="50"/>
  <c r="A242" i="50"/>
  <c r="K242" i="50"/>
  <c r="I242" i="50"/>
  <c r="J242" i="50"/>
  <c r="F242" i="50"/>
  <c r="U242" i="50" s="1"/>
  <c r="N242" i="50"/>
  <c r="M242" i="50"/>
  <c r="L242" i="50"/>
  <c r="H242" i="50"/>
  <c r="L231" i="32"/>
  <c r="M231" i="32"/>
  <c r="N231" i="32"/>
  <c r="F231" i="32"/>
  <c r="U231" i="32" s="1"/>
  <c r="G231" i="32"/>
  <c r="H231" i="32"/>
  <c r="K231" i="32"/>
  <c r="I231" i="32"/>
  <c r="J231" i="32"/>
  <c r="J232" i="32"/>
  <c r="K232" i="32"/>
  <c r="L232" i="32"/>
  <c r="M232" i="32"/>
  <c r="F232" i="32"/>
  <c r="U232" i="32" s="1"/>
  <c r="N232" i="32"/>
  <c r="G232" i="32"/>
  <c r="H232" i="32"/>
  <c r="I232" i="32"/>
  <c r="AL232" i="11" a="1"/>
  <c r="AL232" i="11" s="1"/>
  <c r="E233" i="32" s="1"/>
  <c r="AP242" i="59" a="1"/>
  <c r="AP242" i="59" s="1"/>
  <c r="E243" i="50" s="1"/>
  <c r="AQ132" i="59" a="1"/>
  <c r="AQ132" i="59" s="1"/>
  <c r="AM117" i="11" a="1"/>
  <c r="AM117" i="11" s="1"/>
  <c r="AD241" i="50" l="1"/>
  <c r="AG241" i="50" s="1"/>
  <c r="Q242" i="50"/>
  <c r="P242" i="50" s="1"/>
  <c r="Q232" i="32"/>
  <c r="P232" i="32" s="1"/>
  <c r="Q231" i="32"/>
  <c r="P231" i="32" s="1"/>
  <c r="T233" i="32"/>
  <c r="O233" i="32"/>
  <c r="T243" i="50"/>
  <c r="O243" i="50"/>
  <c r="AP239" i="50"/>
  <c r="C241" i="50"/>
  <c r="Z241" i="50"/>
  <c r="AM232" i="32"/>
  <c r="AM231" i="32"/>
  <c r="AJ241" i="50"/>
  <c r="S242" i="50"/>
  <c r="Z242" i="50" s="1"/>
  <c r="S232" i="32"/>
  <c r="Z232" i="32" s="1"/>
  <c r="S231" i="32"/>
  <c r="AD231" i="32" s="1"/>
  <c r="W241" i="50"/>
  <c r="X240" i="50"/>
  <c r="V241" i="50"/>
  <c r="AH240" i="50"/>
  <c r="AI240" i="50" s="1"/>
  <c r="AK243" i="50"/>
  <c r="AK233" i="32"/>
  <c r="AM242" i="50"/>
  <c r="AL229" i="32"/>
  <c r="AL230" i="32"/>
  <c r="AL240" i="50"/>
  <c r="A233" i="32"/>
  <c r="B233" i="32"/>
  <c r="R233" i="32" s="1"/>
  <c r="H243" i="50"/>
  <c r="F243" i="50"/>
  <c r="U243" i="50" s="1"/>
  <c r="G243" i="50"/>
  <c r="A243" i="50"/>
  <c r="K243" i="50"/>
  <c r="B243" i="50"/>
  <c r="R243" i="50" s="1"/>
  <c r="M243" i="50"/>
  <c r="N243" i="50"/>
  <c r="J243" i="50"/>
  <c r="I243" i="50"/>
  <c r="L243" i="50"/>
  <c r="H233" i="32"/>
  <c r="I233" i="32"/>
  <c r="J233" i="32"/>
  <c r="K233" i="32"/>
  <c r="L233" i="32"/>
  <c r="N233" i="32"/>
  <c r="F233" i="32"/>
  <c r="U233" i="32" s="1"/>
  <c r="G233" i="32"/>
  <c r="M233" i="32"/>
  <c r="AL233" i="11" a="1"/>
  <c r="AL233" i="11" s="1"/>
  <c r="AP243" i="59" a="1"/>
  <c r="AP243" i="59" s="1"/>
  <c r="E244" i="50" s="1"/>
  <c r="AQ133" i="59" a="1"/>
  <c r="AQ133" i="59" s="1"/>
  <c r="AM118" i="11" a="1"/>
  <c r="AM118" i="11" s="1"/>
  <c r="AD232" i="32" l="1"/>
  <c r="AG232" i="32" s="1"/>
  <c r="AH232" i="32" s="1"/>
  <c r="AD242" i="50"/>
  <c r="AG242" i="50" s="1"/>
  <c r="Q243" i="50"/>
  <c r="P243" i="50" s="1"/>
  <c r="Q233" i="32"/>
  <c r="P233" i="32" s="1"/>
  <c r="T244" i="50"/>
  <c r="O244" i="50"/>
  <c r="AP240" i="50"/>
  <c r="C231" i="32"/>
  <c r="Z231" i="32"/>
  <c r="AM233" i="32"/>
  <c r="C242" i="50"/>
  <c r="AJ242" i="50"/>
  <c r="S243" i="50"/>
  <c r="Z243" i="50" s="1"/>
  <c r="C232" i="32"/>
  <c r="AJ232" i="32"/>
  <c r="AJ231" i="32"/>
  <c r="S233" i="32"/>
  <c r="Z233" i="32" s="1"/>
  <c r="W231" i="32"/>
  <c r="X231" i="32" s="1"/>
  <c r="W242" i="50"/>
  <c r="W232" i="32"/>
  <c r="X232" i="32" s="1"/>
  <c r="X241" i="50"/>
  <c r="V242" i="50"/>
  <c r="V231" i="32"/>
  <c r="AH241" i="50"/>
  <c r="AI241" i="50" s="1"/>
  <c r="AK244" i="50"/>
  <c r="AG231" i="32"/>
  <c r="AH231" i="32" s="1"/>
  <c r="AM243" i="50"/>
  <c r="AI229" i="32"/>
  <c r="AN229" i="32" s="1"/>
  <c r="AI230" i="32"/>
  <c r="AN230" i="32" s="1"/>
  <c r="AL241" i="50"/>
  <c r="V232" i="32"/>
  <c r="A244" i="50"/>
  <c r="J244" i="50"/>
  <c r="I244" i="50"/>
  <c r="F244" i="50"/>
  <c r="U244" i="50" s="1"/>
  <c r="H244" i="50"/>
  <c r="G244" i="50"/>
  <c r="K244" i="50"/>
  <c r="M244" i="50"/>
  <c r="L244" i="50"/>
  <c r="N244" i="50"/>
  <c r="B244" i="50"/>
  <c r="R244" i="50" s="1"/>
  <c r="E234" i="32"/>
  <c r="AL234" i="11" a="1"/>
  <c r="AL234" i="11" s="1"/>
  <c r="E235" i="32" s="1"/>
  <c r="AP244" i="59" a="1"/>
  <c r="AP244" i="59" s="1"/>
  <c r="E245" i="50" s="1"/>
  <c r="AQ134" i="59" a="1"/>
  <c r="AQ134" i="59" s="1"/>
  <c r="AM119" i="11" a="1"/>
  <c r="AM119" i="11" s="1"/>
  <c r="AD233" i="32" l="1"/>
  <c r="AG233" i="32" s="1"/>
  <c r="AH233" i="32" s="1"/>
  <c r="AD243" i="50"/>
  <c r="AG243" i="50" s="1"/>
  <c r="Q244" i="50"/>
  <c r="P244" i="50" s="1"/>
  <c r="T234" i="32"/>
  <c r="O234" i="32"/>
  <c r="T235" i="32"/>
  <c r="O235" i="32"/>
  <c r="T245" i="50"/>
  <c r="O245" i="50"/>
  <c r="AP241" i="50"/>
  <c r="C243" i="50"/>
  <c r="AJ243" i="50"/>
  <c r="S244" i="50"/>
  <c r="Z244" i="50" s="1"/>
  <c r="C233" i="32"/>
  <c r="AJ233" i="32"/>
  <c r="W233" i="32"/>
  <c r="X233" i="32" s="1"/>
  <c r="W243" i="50"/>
  <c r="X242" i="50"/>
  <c r="V243" i="50"/>
  <c r="V233" i="32"/>
  <c r="AH242" i="50"/>
  <c r="AI242" i="50" s="1"/>
  <c r="AK245" i="50"/>
  <c r="AK235" i="32"/>
  <c r="AK234" i="32"/>
  <c r="AM244" i="50"/>
  <c r="AL231" i="32"/>
  <c r="AL232" i="32"/>
  <c r="AL242" i="50"/>
  <c r="A235" i="32"/>
  <c r="B235" i="32"/>
  <c r="R235" i="32" s="1"/>
  <c r="A234" i="32"/>
  <c r="B234" i="32"/>
  <c r="R234" i="32" s="1"/>
  <c r="A245" i="50"/>
  <c r="I245" i="50"/>
  <c r="M245" i="50"/>
  <c r="F245" i="50"/>
  <c r="U245" i="50" s="1"/>
  <c r="H245" i="50"/>
  <c r="G245" i="50"/>
  <c r="L245" i="50"/>
  <c r="J245" i="50"/>
  <c r="B245" i="50"/>
  <c r="R245" i="50" s="1"/>
  <c r="K245" i="50"/>
  <c r="N245" i="50"/>
  <c r="F234" i="32"/>
  <c r="U234" i="32" s="1"/>
  <c r="N234" i="32"/>
  <c r="G234" i="32"/>
  <c r="H234" i="32"/>
  <c r="I234" i="32"/>
  <c r="J234" i="32"/>
  <c r="K234" i="32"/>
  <c r="L234" i="32"/>
  <c r="M234" i="32"/>
  <c r="L235" i="32"/>
  <c r="M235" i="32"/>
  <c r="N235" i="32"/>
  <c r="F235" i="32"/>
  <c r="U235" i="32" s="1"/>
  <c r="G235" i="32"/>
  <c r="H235" i="32"/>
  <c r="I235" i="32"/>
  <c r="J235" i="32"/>
  <c r="K235" i="32"/>
  <c r="AL235" i="11" a="1"/>
  <c r="AL235" i="11" s="1"/>
  <c r="E236" i="32" s="1"/>
  <c r="AP245" i="59" a="1"/>
  <c r="AP245" i="59" s="1"/>
  <c r="E246" i="50" s="1"/>
  <c r="AQ135" i="59" a="1"/>
  <c r="AQ135" i="59" s="1"/>
  <c r="AM120" i="11" a="1"/>
  <c r="AM120" i="11" s="1"/>
  <c r="AD244" i="50" l="1"/>
  <c r="AG244" i="50" s="1"/>
  <c r="Q245" i="50"/>
  <c r="P245" i="50" s="1"/>
  <c r="Q234" i="32"/>
  <c r="P234" i="32" s="1"/>
  <c r="Q235" i="32"/>
  <c r="P235" i="32" s="1"/>
  <c r="T236" i="32"/>
  <c r="O236" i="32"/>
  <c r="T246" i="50"/>
  <c r="O246" i="50"/>
  <c r="AP242" i="50"/>
  <c r="AM235" i="32"/>
  <c r="AM234" i="32"/>
  <c r="AJ244" i="50"/>
  <c r="C244" i="50"/>
  <c r="S245" i="50"/>
  <c r="Z245" i="50" s="1"/>
  <c r="S235" i="32"/>
  <c r="Z235" i="32" s="1"/>
  <c r="S234" i="32"/>
  <c r="Z234" i="32" s="1"/>
  <c r="W244" i="50"/>
  <c r="X243" i="50"/>
  <c r="V244" i="50"/>
  <c r="AH243" i="50"/>
  <c r="AI243" i="50" s="1"/>
  <c r="AK246" i="50"/>
  <c r="AK236" i="32"/>
  <c r="AM245" i="50"/>
  <c r="AL233" i="32"/>
  <c r="AL243" i="50"/>
  <c r="AI231" i="32"/>
  <c r="AN231" i="32" s="1"/>
  <c r="AI232" i="32"/>
  <c r="AN232" i="32" s="1"/>
  <c r="A236" i="32"/>
  <c r="B236" i="32"/>
  <c r="R236" i="32" s="1"/>
  <c r="I246" i="50"/>
  <c r="H246" i="50"/>
  <c r="M246" i="50"/>
  <c r="K246" i="50"/>
  <c r="N246" i="50"/>
  <c r="A246" i="50"/>
  <c r="B246" i="50"/>
  <c r="R246" i="50" s="1"/>
  <c r="G246" i="50"/>
  <c r="F246" i="50"/>
  <c r="U246" i="50" s="1"/>
  <c r="J246" i="50"/>
  <c r="L246" i="50"/>
  <c r="K236" i="32"/>
  <c r="L236" i="32"/>
  <c r="M236" i="32"/>
  <c r="F236" i="32"/>
  <c r="U236" i="32" s="1"/>
  <c r="N236" i="32"/>
  <c r="G236" i="32"/>
  <c r="H236" i="32"/>
  <c r="I236" i="32"/>
  <c r="J236" i="32"/>
  <c r="AL236" i="11" a="1"/>
  <c r="AL236" i="11" s="1"/>
  <c r="AP246" i="59" a="1"/>
  <c r="AP246" i="59" s="1"/>
  <c r="E247" i="50" s="1"/>
  <c r="AQ136" i="59" a="1"/>
  <c r="AQ136" i="59" s="1"/>
  <c r="AM121" i="11" a="1"/>
  <c r="AM121" i="11" s="1"/>
  <c r="AD234" i="32" l="1"/>
  <c r="AD235" i="32"/>
  <c r="AG235" i="32" s="1"/>
  <c r="AH235" i="32" s="1"/>
  <c r="AD245" i="50"/>
  <c r="AG245" i="50" s="1"/>
  <c r="Q246" i="50"/>
  <c r="P246" i="50" s="1"/>
  <c r="Q236" i="32"/>
  <c r="P236" i="32" s="1"/>
  <c r="T247" i="50"/>
  <c r="O247" i="50"/>
  <c r="AP243" i="50"/>
  <c r="AM236" i="32"/>
  <c r="C245" i="50"/>
  <c r="AJ245" i="50"/>
  <c r="S246" i="50"/>
  <c r="Z246" i="50" s="1"/>
  <c r="AJ234" i="32"/>
  <c r="C234" i="32"/>
  <c r="C235" i="32"/>
  <c r="AJ235" i="32"/>
  <c r="S236" i="32"/>
  <c r="AD236" i="32" s="1"/>
  <c r="W245" i="50"/>
  <c r="W235" i="32"/>
  <c r="X235" i="32" s="1"/>
  <c r="W234" i="32"/>
  <c r="X234" i="32" s="1"/>
  <c r="X244" i="50"/>
  <c r="V245" i="50"/>
  <c r="AH244" i="50"/>
  <c r="AI244" i="50" s="1"/>
  <c r="AK247" i="50"/>
  <c r="AM246" i="50"/>
  <c r="AI233" i="32"/>
  <c r="AN233" i="32" s="1"/>
  <c r="AL244" i="50"/>
  <c r="V234" i="32"/>
  <c r="V235" i="32"/>
  <c r="B247" i="50"/>
  <c r="R247" i="50" s="1"/>
  <c r="F247" i="50"/>
  <c r="U247" i="50" s="1"/>
  <c r="G247" i="50"/>
  <c r="J247" i="50"/>
  <c r="N247" i="50"/>
  <c r="K247" i="50"/>
  <c r="I247" i="50"/>
  <c r="H247" i="50"/>
  <c r="A247" i="50"/>
  <c r="M247" i="50"/>
  <c r="L247" i="50"/>
  <c r="E237" i="32"/>
  <c r="AL237" i="11" a="1"/>
  <c r="AL237" i="11" s="1"/>
  <c r="E238" i="32" s="1"/>
  <c r="AP247" i="59" a="1"/>
  <c r="AP247" i="59" s="1"/>
  <c r="E248" i="50" s="1"/>
  <c r="AQ137" i="59" a="1"/>
  <c r="AQ137" i="59" s="1"/>
  <c r="AM122" i="11" a="1"/>
  <c r="AM122" i="11" s="1"/>
  <c r="AD246" i="50" l="1"/>
  <c r="AG246" i="50" s="1"/>
  <c r="Q247" i="50"/>
  <c r="P247" i="50" s="1"/>
  <c r="T238" i="32"/>
  <c r="O238" i="32"/>
  <c r="T237" i="32"/>
  <c r="O237" i="32"/>
  <c r="T248" i="50"/>
  <c r="O248" i="50"/>
  <c r="AP244" i="50"/>
  <c r="AG234" i="32"/>
  <c r="AH234" i="32" s="1"/>
  <c r="C236" i="32"/>
  <c r="Z236" i="32"/>
  <c r="AJ246" i="50"/>
  <c r="C246" i="50"/>
  <c r="S247" i="50"/>
  <c r="Z247" i="50" s="1"/>
  <c r="AJ236" i="32"/>
  <c r="W236" i="32"/>
  <c r="X236" i="32" s="1"/>
  <c r="W246" i="50"/>
  <c r="X245" i="50"/>
  <c r="V246" i="50"/>
  <c r="V236" i="32"/>
  <c r="AH245" i="50"/>
  <c r="AI245" i="50" s="1"/>
  <c r="AK248" i="50"/>
  <c r="AK237" i="32"/>
  <c r="AK238" i="32"/>
  <c r="AL234" i="32"/>
  <c r="AG236" i="32"/>
  <c r="AH236" i="32" s="1"/>
  <c r="AM247" i="50"/>
  <c r="AL235" i="32"/>
  <c r="AL245" i="50"/>
  <c r="A238" i="32"/>
  <c r="B238" i="32"/>
  <c r="R238" i="32" s="1"/>
  <c r="A237" i="32"/>
  <c r="B237" i="32"/>
  <c r="R237" i="32" s="1"/>
  <c r="B248" i="50"/>
  <c r="R248" i="50" s="1"/>
  <c r="M248" i="50"/>
  <c r="F248" i="50"/>
  <c r="U248" i="50" s="1"/>
  <c r="N248" i="50"/>
  <c r="J248" i="50"/>
  <c r="I248" i="50"/>
  <c r="H248" i="50"/>
  <c r="K248" i="50"/>
  <c r="A248" i="50"/>
  <c r="G248" i="50"/>
  <c r="L248" i="50"/>
  <c r="G238" i="32"/>
  <c r="H238" i="32"/>
  <c r="I238" i="32"/>
  <c r="J238" i="32"/>
  <c r="N238" i="32"/>
  <c r="F238" i="32"/>
  <c r="U238" i="32" s="1"/>
  <c r="M238" i="32"/>
  <c r="K238" i="32"/>
  <c r="L238" i="32"/>
  <c r="I237" i="32"/>
  <c r="J237" i="32"/>
  <c r="K237" i="32"/>
  <c r="L237" i="32"/>
  <c r="M237" i="32"/>
  <c r="N237" i="32"/>
  <c r="F237" i="32"/>
  <c r="U237" i="32" s="1"/>
  <c r="G237" i="32"/>
  <c r="H237" i="32"/>
  <c r="AL238" i="11" a="1"/>
  <c r="AL238" i="11" s="1"/>
  <c r="AP248" i="59" a="1"/>
  <c r="AP248" i="59" s="1"/>
  <c r="E249" i="50" s="1"/>
  <c r="AQ138" i="59" a="1"/>
  <c r="AQ138" i="59" s="1"/>
  <c r="AM123" i="11" a="1"/>
  <c r="AM123" i="11" s="1"/>
  <c r="AD247" i="50" l="1"/>
  <c r="AG247" i="50" s="1"/>
  <c r="Q248" i="50"/>
  <c r="P248" i="50" s="1"/>
  <c r="Q237" i="32"/>
  <c r="P237" i="32" s="1"/>
  <c r="Q238" i="32"/>
  <c r="P238" i="32" s="1"/>
  <c r="AP245" i="50"/>
  <c r="O249" i="50"/>
  <c r="T249" i="50"/>
  <c r="AM237" i="32"/>
  <c r="AM238" i="32"/>
  <c r="AJ247" i="50"/>
  <c r="C247" i="50"/>
  <c r="S248" i="50"/>
  <c r="Z248" i="50" s="1"/>
  <c r="S237" i="32"/>
  <c r="Z237" i="32" s="1"/>
  <c r="S238" i="32"/>
  <c r="Z238" i="32" s="1"/>
  <c r="W247" i="50"/>
  <c r="X246" i="50"/>
  <c r="V247" i="50"/>
  <c r="AH246" i="50"/>
  <c r="AI246" i="50" s="1"/>
  <c r="AK249" i="50"/>
  <c r="AM248" i="50"/>
  <c r="AL236" i="32"/>
  <c r="AI235" i="32"/>
  <c r="AN235" i="32" s="1"/>
  <c r="AL246" i="50"/>
  <c r="AI234" i="32"/>
  <c r="AN234" i="32" s="1"/>
  <c r="G249" i="50"/>
  <c r="F249" i="50"/>
  <c r="U249" i="50" s="1"/>
  <c r="L249" i="50"/>
  <c r="B249" i="50"/>
  <c r="R249" i="50" s="1"/>
  <c r="N249" i="50"/>
  <c r="I249" i="50"/>
  <c r="H249" i="50"/>
  <c r="K249" i="50"/>
  <c r="M249" i="50"/>
  <c r="A249" i="50"/>
  <c r="J249" i="50"/>
  <c r="E239" i="32"/>
  <c r="AL239" i="11" a="1"/>
  <c r="AL239" i="11" s="1"/>
  <c r="E240" i="32" s="1"/>
  <c r="AP249" i="59" a="1"/>
  <c r="AP249" i="59" s="1"/>
  <c r="E250" i="50" s="1"/>
  <c r="AQ139" i="59" a="1"/>
  <c r="AQ139" i="59" s="1"/>
  <c r="AM124" i="11" a="1"/>
  <c r="AM124" i="11" s="1"/>
  <c r="AD238" i="32" l="1"/>
  <c r="AG238" i="32" s="1"/>
  <c r="AH238" i="32" s="1"/>
  <c r="AD237" i="32"/>
  <c r="AG237" i="32" s="1"/>
  <c r="AH237" i="32" s="1"/>
  <c r="AD248" i="50"/>
  <c r="AG248" i="50" s="1"/>
  <c r="Q249" i="50"/>
  <c r="P249" i="50" s="1"/>
  <c r="T239" i="32"/>
  <c r="O239" i="32"/>
  <c r="T240" i="32"/>
  <c r="O240" i="32"/>
  <c r="T250" i="50"/>
  <c r="O250" i="50"/>
  <c r="AP246" i="50"/>
  <c r="C248" i="50"/>
  <c r="AJ248" i="50"/>
  <c r="S249" i="50"/>
  <c r="Z249" i="50" s="1"/>
  <c r="W238" i="32"/>
  <c r="X238" i="32" s="1"/>
  <c r="C238" i="32"/>
  <c r="AJ238" i="32"/>
  <c r="C237" i="32"/>
  <c r="W237" i="32"/>
  <c r="X237" i="32" s="1"/>
  <c r="AJ237" i="32"/>
  <c r="W248" i="50"/>
  <c r="X247" i="50"/>
  <c r="V248" i="50"/>
  <c r="V237" i="32"/>
  <c r="V238" i="32"/>
  <c r="AH247" i="50"/>
  <c r="AI247" i="50" s="1"/>
  <c r="AK250" i="50"/>
  <c r="AK239" i="32"/>
  <c r="AK240" i="32"/>
  <c r="AM249" i="50"/>
  <c r="AI236" i="32"/>
  <c r="AN236" i="32" s="1"/>
  <c r="AL247" i="50"/>
  <c r="A240" i="32"/>
  <c r="B240" i="32"/>
  <c r="R240" i="32" s="1"/>
  <c r="A239" i="32"/>
  <c r="B239" i="32"/>
  <c r="R239" i="32" s="1"/>
  <c r="F250" i="50"/>
  <c r="U250" i="50" s="1"/>
  <c r="G250" i="50"/>
  <c r="B250" i="50"/>
  <c r="R250" i="50" s="1"/>
  <c r="M250" i="50"/>
  <c r="L250" i="50"/>
  <c r="K250" i="50"/>
  <c r="A250" i="50"/>
  <c r="J250" i="50"/>
  <c r="H250" i="50"/>
  <c r="I250" i="50"/>
  <c r="N250" i="50"/>
  <c r="K240" i="32"/>
  <c r="M240" i="32"/>
  <c r="F240" i="32"/>
  <c r="U240" i="32" s="1"/>
  <c r="N240" i="32"/>
  <c r="J240" i="32"/>
  <c r="L240" i="32"/>
  <c r="G240" i="32"/>
  <c r="I240" i="32"/>
  <c r="H240" i="32"/>
  <c r="M239" i="32"/>
  <c r="F239" i="32"/>
  <c r="U239" i="32" s="1"/>
  <c r="G239" i="32"/>
  <c r="H239" i="32"/>
  <c r="I239" i="32"/>
  <c r="J239" i="32"/>
  <c r="K239" i="32"/>
  <c r="L239" i="32"/>
  <c r="N239" i="32"/>
  <c r="AL240" i="11" a="1"/>
  <c r="AL240" i="11" s="1"/>
  <c r="E241" i="32" s="1"/>
  <c r="AP250" i="59" a="1"/>
  <c r="AP250" i="59" s="1"/>
  <c r="E251" i="50" s="1"/>
  <c r="AQ140" i="59" a="1"/>
  <c r="AQ140" i="59" s="1"/>
  <c r="AM125" i="11" a="1"/>
  <c r="AM125" i="11" s="1"/>
  <c r="AD249" i="50" l="1"/>
  <c r="AG249" i="50" s="1"/>
  <c r="Q250" i="50"/>
  <c r="P250" i="50" s="1"/>
  <c r="Q239" i="32"/>
  <c r="P239" i="32" s="1"/>
  <c r="Q240" i="32"/>
  <c r="P240" i="32" s="1"/>
  <c r="T241" i="32"/>
  <c r="O241" i="32"/>
  <c r="T251" i="50"/>
  <c r="O251" i="50"/>
  <c r="AP247" i="50"/>
  <c r="AM239" i="32"/>
  <c r="AM240" i="32"/>
  <c r="AJ249" i="50"/>
  <c r="C249" i="50"/>
  <c r="S250" i="50"/>
  <c r="Z250" i="50" s="1"/>
  <c r="S240" i="32"/>
  <c r="Z240" i="32" s="1"/>
  <c r="S239" i="32"/>
  <c r="Z239" i="32" s="1"/>
  <c r="W249" i="50"/>
  <c r="X248" i="50"/>
  <c r="V249" i="50"/>
  <c r="AH248" i="50"/>
  <c r="AI248" i="50" s="1"/>
  <c r="AK251" i="50"/>
  <c r="AK241" i="32"/>
  <c r="AM250" i="50"/>
  <c r="AL237" i="32"/>
  <c r="AL238" i="32"/>
  <c r="AL248" i="50"/>
  <c r="A241" i="32"/>
  <c r="B241" i="32"/>
  <c r="R241" i="32" s="1"/>
  <c r="H251" i="50"/>
  <c r="M251" i="50"/>
  <c r="A251" i="50"/>
  <c r="N251" i="50"/>
  <c r="F251" i="50"/>
  <c r="U251" i="50" s="1"/>
  <c r="K251" i="50"/>
  <c r="G251" i="50"/>
  <c r="L251" i="50"/>
  <c r="J251" i="50"/>
  <c r="B251" i="50"/>
  <c r="R251" i="50" s="1"/>
  <c r="I251" i="50"/>
  <c r="I241" i="32"/>
  <c r="K241" i="32"/>
  <c r="L241" i="32"/>
  <c r="N241" i="32"/>
  <c r="J241" i="32"/>
  <c r="F241" i="32"/>
  <c r="U241" i="32" s="1"/>
  <c r="G241" i="32"/>
  <c r="H241" i="32"/>
  <c r="M241" i="32"/>
  <c r="AL241" i="11" a="1"/>
  <c r="AL241" i="11" s="1"/>
  <c r="E242" i="32" s="1"/>
  <c r="AP251" i="59" a="1"/>
  <c r="AP251" i="59" s="1"/>
  <c r="E252" i="50" s="1"/>
  <c r="AQ141" i="59" a="1"/>
  <c r="AQ141" i="59" s="1"/>
  <c r="AM126" i="11" a="1"/>
  <c r="AM126" i="11" s="1"/>
  <c r="AD239" i="32" l="1"/>
  <c r="AG239" i="32" s="1"/>
  <c r="AH239" i="32" s="1"/>
  <c r="AD240" i="32"/>
  <c r="AG240" i="32" s="1"/>
  <c r="AH240" i="32" s="1"/>
  <c r="AD250" i="50"/>
  <c r="AG250" i="50" s="1"/>
  <c r="Q251" i="50"/>
  <c r="P251" i="50" s="1"/>
  <c r="Q241" i="32"/>
  <c r="P241" i="32" s="1"/>
  <c r="T242" i="32"/>
  <c r="O242" i="32"/>
  <c r="T252" i="50"/>
  <c r="O252" i="50"/>
  <c r="AP248" i="50"/>
  <c r="AM241" i="32"/>
  <c r="C250" i="50"/>
  <c r="AJ250" i="50"/>
  <c r="S251" i="50"/>
  <c r="Z251" i="50" s="1"/>
  <c r="AJ239" i="32"/>
  <c r="W239" i="32"/>
  <c r="X239" i="32" s="1"/>
  <c r="C239" i="32"/>
  <c r="AJ240" i="32"/>
  <c r="W240" i="32"/>
  <c r="X240" i="32" s="1"/>
  <c r="C240" i="32"/>
  <c r="S241" i="32"/>
  <c r="Z241" i="32" s="1"/>
  <c r="W250" i="50"/>
  <c r="X249" i="50"/>
  <c r="V250" i="50"/>
  <c r="V239" i="32"/>
  <c r="V240" i="32"/>
  <c r="AH249" i="50"/>
  <c r="AI249" i="50" s="1"/>
  <c r="AK252" i="50"/>
  <c r="AK242" i="32"/>
  <c r="AM251" i="50"/>
  <c r="AI238" i="32"/>
  <c r="AN238" i="32" s="1"/>
  <c r="AL249" i="50"/>
  <c r="AI237" i="32"/>
  <c r="AN237" i="32" s="1"/>
  <c r="A242" i="32"/>
  <c r="B242" i="32"/>
  <c r="R242" i="32" s="1"/>
  <c r="A252" i="50"/>
  <c r="N252" i="50"/>
  <c r="J252" i="50"/>
  <c r="I252" i="50"/>
  <c r="H252" i="50"/>
  <c r="M252" i="50"/>
  <c r="B252" i="50"/>
  <c r="R252" i="50" s="1"/>
  <c r="G252" i="50"/>
  <c r="K252" i="50"/>
  <c r="F252" i="50"/>
  <c r="U252" i="50" s="1"/>
  <c r="L252" i="50"/>
  <c r="G242" i="32"/>
  <c r="I242" i="32"/>
  <c r="J242" i="32"/>
  <c r="M242" i="32"/>
  <c r="F242" i="32"/>
  <c r="U242" i="32" s="1"/>
  <c r="H242" i="32"/>
  <c r="L242" i="32"/>
  <c r="K242" i="32"/>
  <c r="N242" i="32"/>
  <c r="AL242" i="11" a="1"/>
  <c r="AL242" i="11" s="1"/>
  <c r="E243" i="32" s="1"/>
  <c r="AP252" i="59" a="1"/>
  <c r="AP252" i="59" s="1"/>
  <c r="E253" i="50" s="1"/>
  <c r="AQ142" i="59" a="1"/>
  <c r="AQ142" i="59" s="1"/>
  <c r="AM127" i="11" a="1"/>
  <c r="AM127" i="11" s="1"/>
  <c r="AD241" i="32" l="1"/>
  <c r="AG241" i="32" s="1"/>
  <c r="AH241" i="32" s="1"/>
  <c r="AD251" i="50"/>
  <c r="AG251" i="50" s="1"/>
  <c r="Q252" i="50"/>
  <c r="P252" i="50" s="1"/>
  <c r="Q242" i="32"/>
  <c r="P242" i="32" s="1"/>
  <c r="T243" i="32"/>
  <c r="O243" i="32"/>
  <c r="T253" i="50"/>
  <c r="O253" i="50"/>
  <c r="AP249" i="50"/>
  <c r="AM242" i="32"/>
  <c r="AJ251" i="50"/>
  <c r="C251" i="50"/>
  <c r="S252" i="50"/>
  <c r="Z252" i="50" s="1"/>
  <c r="C241" i="32"/>
  <c r="AJ241" i="32"/>
  <c r="W241" i="32"/>
  <c r="X241" i="32" s="1"/>
  <c r="S242" i="32"/>
  <c r="Z242" i="32" s="1"/>
  <c r="W251" i="50"/>
  <c r="X250" i="50"/>
  <c r="V251" i="50"/>
  <c r="V241" i="32"/>
  <c r="AH250" i="50"/>
  <c r="AI250" i="50" s="1"/>
  <c r="AK253" i="50"/>
  <c r="AK243" i="32"/>
  <c r="AM252" i="50"/>
  <c r="AL239" i="32"/>
  <c r="AL240" i="32"/>
  <c r="AL250" i="50"/>
  <c r="A243" i="32"/>
  <c r="B243" i="32"/>
  <c r="R243" i="32" s="1"/>
  <c r="A253" i="50"/>
  <c r="I253" i="50"/>
  <c r="M253" i="50"/>
  <c r="F253" i="50"/>
  <c r="U253" i="50" s="1"/>
  <c r="B253" i="50"/>
  <c r="R253" i="50" s="1"/>
  <c r="N253" i="50"/>
  <c r="G253" i="50"/>
  <c r="K253" i="50"/>
  <c r="H253" i="50"/>
  <c r="J253" i="50"/>
  <c r="L253" i="50"/>
  <c r="M243" i="32"/>
  <c r="G243" i="32"/>
  <c r="H243" i="32"/>
  <c r="F243" i="32"/>
  <c r="U243" i="32" s="1"/>
  <c r="I243" i="32"/>
  <c r="J243" i="32"/>
  <c r="K243" i="32"/>
  <c r="L243" i="32"/>
  <c r="N243" i="32"/>
  <c r="AL243" i="11" a="1"/>
  <c r="AL243" i="11" s="1"/>
  <c r="E244" i="32" s="1"/>
  <c r="AP253" i="59" a="1"/>
  <c r="AP253" i="59" s="1"/>
  <c r="E254" i="50" s="1"/>
  <c r="AQ143" i="59" a="1"/>
  <c r="AQ143" i="59" s="1"/>
  <c r="AM128" i="11" a="1"/>
  <c r="AM128" i="11" s="1"/>
  <c r="AD242" i="32" l="1"/>
  <c r="AG242" i="32" s="1"/>
  <c r="AH242" i="32" s="1"/>
  <c r="AD252" i="50"/>
  <c r="AG252" i="50" s="1"/>
  <c r="Q253" i="50"/>
  <c r="P253" i="50" s="1"/>
  <c r="Q243" i="32"/>
  <c r="P243" i="32" s="1"/>
  <c r="T244" i="32"/>
  <c r="O244" i="32"/>
  <c r="T254" i="50"/>
  <c r="O254" i="50"/>
  <c r="AP250" i="50"/>
  <c r="AM243" i="32"/>
  <c r="C252" i="50"/>
  <c r="AJ252" i="50"/>
  <c r="S253" i="50"/>
  <c r="Z253" i="50" s="1"/>
  <c r="C242" i="32"/>
  <c r="AJ242" i="32"/>
  <c r="W242" i="32"/>
  <c r="X242" i="32" s="1"/>
  <c r="S243" i="32"/>
  <c r="AD243" i="32" s="1"/>
  <c r="W252" i="50"/>
  <c r="X251" i="50"/>
  <c r="V252" i="50"/>
  <c r="V242" i="32"/>
  <c r="AH251" i="50"/>
  <c r="AI251" i="50" s="1"/>
  <c r="AK254" i="50"/>
  <c r="AK244" i="32"/>
  <c r="AM253" i="50"/>
  <c r="AL241" i="32"/>
  <c r="AI240" i="32"/>
  <c r="AN240" i="32" s="1"/>
  <c r="AI239" i="32"/>
  <c r="AN239" i="32" s="1"/>
  <c r="AL251" i="50"/>
  <c r="A244" i="32"/>
  <c r="B244" i="32"/>
  <c r="R244" i="32" s="1"/>
  <c r="I254" i="50"/>
  <c r="F254" i="50"/>
  <c r="U254" i="50" s="1"/>
  <c r="A254" i="50"/>
  <c r="G254" i="50"/>
  <c r="H254" i="50"/>
  <c r="L254" i="50"/>
  <c r="K254" i="50"/>
  <c r="M254" i="50"/>
  <c r="N254" i="50"/>
  <c r="B254" i="50"/>
  <c r="R254" i="50" s="1"/>
  <c r="J254" i="50"/>
  <c r="K244" i="32"/>
  <c r="M244" i="32"/>
  <c r="F244" i="32"/>
  <c r="U244" i="32" s="1"/>
  <c r="N244" i="32"/>
  <c r="I244" i="32"/>
  <c r="J244" i="32"/>
  <c r="L244" i="32"/>
  <c r="H244" i="32"/>
  <c r="G244" i="32"/>
  <c r="AL244" i="11" a="1"/>
  <c r="AL244" i="11" s="1"/>
  <c r="E245" i="32" s="1"/>
  <c r="AP254" i="59" a="1"/>
  <c r="AP254" i="59" s="1"/>
  <c r="E255" i="50" s="1"/>
  <c r="AQ144" i="59" a="1"/>
  <c r="AQ144" i="59" s="1"/>
  <c r="AM129" i="11" a="1"/>
  <c r="AM129" i="11" s="1"/>
  <c r="AD253" i="50" l="1"/>
  <c r="AG253" i="50" s="1"/>
  <c r="Q254" i="50"/>
  <c r="P254" i="50" s="1"/>
  <c r="Q244" i="32"/>
  <c r="P244" i="32" s="1"/>
  <c r="T245" i="32"/>
  <c r="O245" i="32"/>
  <c r="T255" i="50"/>
  <c r="O255" i="50"/>
  <c r="AP251" i="50"/>
  <c r="C243" i="32"/>
  <c r="Z243" i="32"/>
  <c r="AM244" i="32"/>
  <c r="C253" i="50"/>
  <c r="AJ253" i="50"/>
  <c r="S254" i="50"/>
  <c r="Z254" i="50" s="1"/>
  <c r="S244" i="32"/>
  <c r="Z244" i="32" s="1"/>
  <c r="W243" i="32"/>
  <c r="X243" i="32" s="1"/>
  <c r="AJ243" i="32"/>
  <c r="W253" i="50"/>
  <c r="X252" i="50"/>
  <c r="V253" i="50"/>
  <c r="V243" i="32"/>
  <c r="AH252" i="50"/>
  <c r="AI252" i="50" s="1"/>
  <c r="AK255" i="50"/>
  <c r="AK245" i="32"/>
  <c r="AG243" i="32"/>
  <c r="AH243" i="32" s="1"/>
  <c r="AM254" i="50"/>
  <c r="AL242" i="32"/>
  <c r="AI241" i="32"/>
  <c r="AN241" i="32" s="1"/>
  <c r="AL252" i="50"/>
  <c r="A245" i="32"/>
  <c r="B245" i="32"/>
  <c r="R245" i="32" s="1"/>
  <c r="B255" i="50"/>
  <c r="R255" i="50" s="1"/>
  <c r="F255" i="50"/>
  <c r="U255" i="50" s="1"/>
  <c r="G255" i="50"/>
  <c r="J255" i="50"/>
  <c r="N255" i="50"/>
  <c r="H255" i="50"/>
  <c r="I255" i="50"/>
  <c r="A255" i="50"/>
  <c r="K255" i="50"/>
  <c r="M255" i="50"/>
  <c r="L255" i="50"/>
  <c r="I245" i="32"/>
  <c r="K245" i="32"/>
  <c r="L245" i="32"/>
  <c r="M245" i="32"/>
  <c r="N245" i="32"/>
  <c r="G245" i="32"/>
  <c r="H245" i="32"/>
  <c r="J245" i="32"/>
  <c r="F245" i="32"/>
  <c r="U245" i="32" s="1"/>
  <c r="AL245" i="11" a="1"/>
  <c r="AL245" i="11" s="1"/>
  <c r="E246" i="32" s="1"/>
  <c r="AP255" i="59" a="1"/>
  <c r="AP255" i="59" s="1"/>
  <c r="E256" i="50" s="1"/>
  <c r="AQ145" i="59" a="1"/>
  <c r="AQ145" i="59" s="1"/>
  <c r="AM130" i="11" a="1"/>
  <c r="AM130" i="11" s="1"/>
  <c r="AD244" i="32" l="1"/>
  <c r="AG244" i="32" s="1"/>
  <c r="AH244" i="32" s="1"/>
  <c r="AD254" i="50"/>
  <c r="AG254" i="50" s="1"/>
  <c r="Q255" i="50"/>
  <c r="P255" i="50" s="1"/>
  <c r="Q245" i="32"/>
  <c r="P245" i="32" s="1"/>
  <c r="T246" i="32"/>
  <c r="O246" i="32"/>
  <c r="T256" i="50"/>
  <c r="O256" i="50"/>
  <c r="AP252" i="50"/>
  <c r="AM245" i="32"/>
  <c r="AJ254" i="50"/>
  <c r="C254" i="50"/>
  <c r="S255" i="50"/>
  <c r="Z255" i="50" s="1"/>
  <c r="AJ244" i="32"/>
  <c r="W244" i="32"/>
  <c r="X244" i="32" s="1"/>
  <c r="C244" i="32"/>
  <c r="S245" i="32"/>
  <c r="Z245" i="32" s="1"/>
  <c r="W254" i="50"/>
  <c r="X253" i="50"/>
  <c r="V254" i="50"/>
  <c r="V244" i="32"/>
  <c r="AH253" i="50"/>
  <c r="AI253" i="50" s="1"/>
  <c r="AK256" i="50"/>
  <c r="AK246" i="32"/>
  <c r="AM255" i="50"/>
  <c r="AL243" i="32"/>
  <c r="AI242" i="32"/>
  <c r="AN242" i="32" s="1"/>
  <c r="AL253" i="50"/>
  <c r="A246" i="32"/>
  <c r="B246" i="32"/>
  <c r="R246" i="32" s="1"/>
  <c r="B256" i="50"/>
  <c r="R256" i="50" s="1"/>
  <c r="M256" i="50"/>
  <c r="N256" i="50"/>
  <c r="J256" i="50"/>
  <c r="I256" i="50"/>
  <c r="K256" i="50"/>
  <c r="G256" i="50"/>
  <c r="H256" i="50"/>
  <c r="L256" i="50"/>
  <c r="A256" i="50"/>
  <c r="F256" i="50"/>
  <c r="U256" i="50" s="1"/>
  <c r="G246" i="32"/>
  <c r="I246" i="32"/>
  <c r="J246" i="32"/>
  <c r="N246" i="32"/>
  <c r="F246" i="32"/>
  <c r="U246" i="32" s="1"/>
  <c r="K246" i="32"/>
  <c r="L246" i="32"/>
  <c r="H246" i="32"/>
  <c r="M246" i="32"/>
  <c r="AL246" i="11" a="1"/>
  <c r="AL246" i="11" s="1"/>
  <c r="E247" i="32" s="1"/>
  <c r="AP256" i="59" a="1"/>
  <c r="AP256" i="59" s="1"/>
  <c r="E257" i="50" s="1"/>
  <c r="AQ146" i="59" a="1"/>
  <c r="AQ146" i="59" s="1"/>
  <c r="AM131" i="11" a="1"/>
  <c r="AM131" i="11" s="1"/>
  <c r="AD245" i="32" l="1"/>
  <c r="AG245" i="32" s="1"/>
  <c r="AH245" i="32" s="1"/>
  <c r="AD255" i="50"/>
  <c r="AG255" i="50" s="1"/>
  <c r="Q256" i="50"/>
  <c r="P256" i="50" s="1"/>
  <c r="Q246" i="32"/>
  <c r="P246" i="32" s="1"/>
  <c r="T247" i="32"/>
  <c r="O247" i="32"/>
  <c r="O257" i="50"/>
  <c r="T257" i="50"/>
  <c r="AP253" i="50"/>
  <c r="AM246" i="32"/>
  <c r="C255" i="50"/>
  <c r="AJ255" i="50"/>
  <c r="S256" i="50"/>
  <c r="Z256" i="50" s="1"/>
  <c r="AJ245" i="32"/>
  <c r="C245" i="32"/>
  <c r="W245" i="32"/>
  <c r="X245" i="32" s="1"/>
  <c r="S246" i="32"/>
  <c r="Z246" i="32" s="1"/>
  <c r="W255" i="50"/>
  <c r="X254" i="50"/>
  <c r="V255" i="50"/>
  <c r="V245" i="32"/>
  <c r="AH254" i="50"/>
  <c r="AI254" i="50" s="1"/>
  <c r="AK257" i="50"/>
  <c r="AK247" i="32"/>
  <c r="AM256" i="50"/>
  <c r="AL244" i="32"/>
  <c r="AI243" i="32"/>
  <c r="AN243" i="32" s="1"/>
  <c r="AL254" i="50"/>
  <c r="A247" i="32"/>
  <c r="B247" i="32"/>
  <c r="R247" i="32" s="1"/>
  <c r="G257" i="50"/>
  <c r="J257" i="50"/>
  <c r="A257" i="50"/>
  <c r="N257" i="50"/>
  <c r="F257" i="50"/>
  <c r="U257" i="50" s="1"/>
  <c r="L257" i="50"/>
  <c r="I257" i="50"/>
  <c r="B257" i="50"/>
  <c r="R257" i="50" s="1"/>
  <c r="M257" i="50"/>
  <c r="K257" i="50"/>
  <c r="H257" i="50"/>
  <c r="M247" i="32"/>
  <c r="G247" i="32"/>
  <c r="H247" i="32"/>
  <c r="F247" i="32"/>
  <c r="U247" i="32" s="1"/>
  <c r="I247" i="32"/>
  <c r="J247" i="32"/>
  <c r="K247" i="32"/>
  <c r="L247" i="32"/>
  <c r="N247" i="32"/>
  <c r="AL247" i="11" a="1"/>
  <c r="AL247" i="11" s="1"/>
  <c r="AP257" i="59" a="1"/>
  <c r="AP257" i="59" s="1"/>
  <c r="E258" i="50" s="1"/>
  <c r="AQ147" i="59" a="1"/>
  <c r="AQ147" i="59" s="1"/>
  <c r="AM132" i="11" a="1"/>
  <c r="AM132" i="11" s="1"/>
  <c r="AD246" i="32" l="1"/>
  <c r="AG246" i="32" s="1"/>
  <c r="AH246" i="32" s="1"/>
  <c r="AD256" i="50"/>
  <c r="AG256" i="50" s="1"/>
  <c r="Q257" i="50"/>
  <c r="P257" i="50" s="1"/>
  <c r="Q247" i="32"/>
  <c r="P247" i="32" s="1"/>
  <c r="R6" i="50" a="1"/>
  <c r="R6" i="50" s="1"/>
  <c r="T258" i="50"/>
  <c r="O258" i="50"/>
  <c r="AP254" i="50"/>
  <c r="AM247" i="32"/>
  <c r="AJ256" i="50"/>
  <c r="C256" i="50"/>
  <c r="S257" i="50"/>
  <c r="Z257" i="50" s="1"/>
  <c r="C246" i="32"/>
  <c r="W246" i="32"/>
  <c r="X246" i="32" s="1"/>
  <c r="AJ246" i="32"/>
  <c r="S247" i="32"/>
  <c r="AD247" i="32" s="1"/>
  <c r="W256" i="50"/>
  <c r="X255" i="50"/>
  <c r="V256" i="50"/>
  <c r="V246" i="32"/>
  <c r="AH255" i="50"/>
  <c r="AI255" i="50" s="1"/>
  <c r="AK258" i="50"/>
  <c r="AM257" i="50"/>
  <c r="AL245" i="32"/>
  <c r="AI244" i="32"/>
  <c r="AN244" i="32" s="1"/>
  <c r="AL255" i="50"/>
  <c r="F258" i="50"/>
  <c r="U258" i="50" s="1"/>
  <c r="N258" i="50"/>
  <c r="L258" i="50"/>
  <c r="B258" i="50"/>
  <c r="R258" i="50" s="1"/>
  <c r="I258" i="50"/>
  <c r="M258" i="50"/>
  <c r="J258" i="50"/>
  <c r="G258" i="50"/>
  <c r="H258" i="50"/>
  <c r="K258" i="50"/>
  <c r="A258" i="50"/>
  <c r="E248" i="32"/>
  <c r="AL248" i="11" a="1"/>
  <c r="AL248" i="11" s="1"/>
  <c r="E249" i="32" s="1"/>
  <c r="AP258" i="59" a="1"/>
  <c r="AP258" i="59" s="1"/>
  <c r="AQ148" i="59" a="1"/>
  <c r="AQ148" i="59" s="1"/>
  <c r="AM133" i="11" a="1"/>
  <c r="AM133" i="11" s="1"/>
  <c r="AD257" i="50" l="1"/>
  <c r="AG257" i="50" s="1"/>
  <c r="Q258" i="50"/>
  <c r="P258" i="50" s="1"/>
  <c r="T249" i="32"/>
  <c r="O249" i="32"/>
  <c r="T248" i="32"/>
  <c r="O248" i="32"/>
  <c r="AP255" i="50"/>
  <c r="C247" i="32"/>
  <c r="Z247" i="32"/>
  <c r="C257" i="50"/>
  <c r="AJ257" i="50"/>
  <c r="S258" i="50"/>
  <c r="AJ247" i="32"/>
  <c r="W257" i="50"/>
  <c r="W247" i="32"/>
  <c r="X247" i="32" s="1"/>
  <c r="X256" i="50"/>
  <c r="V257" i="50"/>
  <c r="AH256" i="50"/>
  <c r="AI256" i="50" s="1"/>
  <c r="AK249" i="32"/>
  <c r="AK248" i="32"/>
  <c r="AG247" i="32"/>
  <c r="AH247" i="32" s="1"/>
  <c r="AM258" i="50"/>
  <c r="AL246" i="32"/>
  <c r="AI245" i="32"/>
  <c r="AN245" i="32" s="1"/>
  <c r="AL256" i="50"/>
  <c r="V247" i="32"/>
  <c r="A249" i="32"/>
  <c r="B249" i="32"/>
  <c r="R249" i="32" s="1"/>
  <c r="A248" i="32"/>
  <c r="B248" i="32"/>
  <c r="R248" i="32" s="1"/>
  <c r="K248" i="32"/>
  <c r="M248" i="32"/>
  <c r="F248" i="32"/>
  <c r="U248" i="32" s="1"/>
  <c r="N248" i="32"/>
  <c r="H248" i="32"/>
  <c r="I248" i="32"/>
  <c r="J248" i="32"/>
  <c r="L248" i="32"/>
  <c r="G248" i="32"/>
  <c r="I249" i="32"/>
  <c r="K249" i="32"/>
  <c r="L249" i="32"/>
  <c r="J249" i="32"/>
  <c r="M249" i="32"/>
  <c r="N249" i="32"/>
  <c r="F249" i="32"/>
  <c r="U249" i="32" s="1"/>
  <c r="G249" i="32"/>
  <c r="H249" i="32"/>
  <c r="AL249" i="11" a="1"/>
  <c r="AL249" i="11" s="1"/>
  <c r="AQ149" i="59" a="1"/>
  <c r="AQ149" i="59" s="1"/>
  <c r="AM134" i="11" a="1"/>
  <c r="AM134" i="11" s="1"/>
  <c r="AD258" i="50" l="1"/>
  <c r="AG258" i="50" s="1"/>
  <c r="Q249" i="32"/>
  <c r="P249" i="32" s="1"/>
  <c r="Q248" i="32"/>
  <c r="P248" i="32" s="1"/>
  <c r="Z9" i="22"/>
  <c r="Z125" i="22"/>
  <c r="AB125" i="22" s="1"/>
  <c r="Z62" i="22"/>
  <c r="Z28" i="22"/>
  <c r="Z140" i="22"/>
  <c r="Z11" i="22"/>
  <c r="Z37" i="22"/>
  <c r="Z109" i="22"/>
  <c r="AB109" i="22" s="1"/>
  <c r="Z74" i="22"/>
  <c r="Z70" i="22"/>
  <c r="Z96" i="22"/>
  <c r="Z121" i="22"/>
  <c r="AB121" i="22" s="1"/>
  <c r="Z46" i="22"/>
  <c r="Z79" i="22"/>
  <c r="Z106" i="22"/>
  <c r="AB106" i="22" s="1"/>
  <c r="Z110" i="22"/>
  <c r="AB110" i="22" s="1"/>
  <c r="Z135" i="22"/>
  <c r="Z112" i="22"/>
  <c r="AB112" i="22" s="1"/>
  <c r="Z131" i="22"/>
  <c r="AB131" i="22" s="1"/>
  <c r="Z47" i="22"/>
  <c r="Z25" i="22"/>
  <c r="Z8" i="22"/>
  <c r="Z126" i="22"/>
  <c r="AB126" i="22" s="1"/>
  <c r="Z26" i="22"/>
  <c r="Z76" i="22"/>
  <c r="Z111" i="22"/>
  <c r="AB111" i="22" s="1"/>
  <c r="Z27" i="22"/>
  <c r="Z16" i="22"/>
  <c r="Z102" i="22"/>
  <c r="Z66" i="22"/>
  <c r="Z107" i="22"/>
  <c r="AB107" i="22" s="1"/>
  <c r="Z85" i="22"/>
  <c r="Z122" i="22"/>
  <c r="AB122" i="22" s="1"/>
  <c r="Z57" i="22"/>
  <c r="Z20" i="22"/>
  <c r="Z128" i="22"/>
  <c r="AB128" i="22" s="1"/>
  <c r="Z130" i="22"/>
  <c r="Z60" i="22"/>
  <c r="Z78" i="22"/>
  <c r="Z136" i="22"/>
  <c r="Z89" i="22"/>
  <c r="Z67" i="22"/>
  <c r="Z52" i="22"/>
  <c r="Z72" i="22"/>
  <c r="Z44" i="22"/>
  <c r="Z5" i="22"/>
  <c r="Z105" i="22"/>
  <c r="AB105" i="22" s="1"/>
  <c r="Z91" i="22"/>
  <c r="Z133" i="22"/>
  <c r="AB133" i="22" s="1"/>
  <c r="Z81" i="22"/>
  <c r="Z32" i="22"/>
  <c r="Z87" i="22"/>
  <c r="Z22" i="22"/>
  <c r="Z43" i="22"/>
  <c r="Z21" i="22"/>
  <c r="Z98" i="22"/>
  <c r="Z63" i="22"/>
  <c r="Z64" i="22"/>
  <c r="Z75" i="22"/>
  <c r="Z101" i="22"/>
  <c r="Z14" i="22"/>
  <c r="Z71" i="22"/>
  <c r="Z19" i="22"/>
  <c r="Z54" i="22"/>
  <c r="Z94" i="22"/>
  <c r="Z73" i="22"/>
  <c r="Z118" i="22"/>
  <c r="AB118" i="22" s="1"/>
  <c r="Z120" i="22"/>
  <c r="AB120" i="22" s="1"/>
  <c r="Z103" i="22"/>
  <c r="AB103" i="22" s="1"/>
  <c r="Z40" i="22"/>
  <c r="Z17" i="22"/>
  <c r="Z30" i="22"/>
  <c r="Z23" i="22"/>
  <c r="Z113" i="22"/>
  <c r="AB113" i="22" s="1"/>
  <c r="Z86" i="22"/>
  <c r="Z61" i="22"/>
  <c r="Z58" i="22"/>
  <c r="Z77" i="22"/>
  <c r="Z7" i="22"/>
  <c r="Z68" i="22"/>
  <c r="AB68" i="22" s="1"/>
  <c r="Z138" i="22"/>
  <c r="Z134" i="22"/>
  <c r="AB134" i="22" s="1"/>
  <c r="Z53" i="22"/>
  <c r="Z39" i="22"/>
  <c r="Z117" i="22"/>
  <c r="AB117" i="22" s="1"/>
  <c r="Z15" i="22"/>
  <c r="Z49" i="22"/>
  <c r="Z80" i="22"/>
  <c r="AB80" i="22" s="1"/>
  <c r="AD80" i="22" s="1"/>
  <c r="BD134" i="22" s="1"/>
  <c r="E138" i="72" s="1"/>
  <c r="Z59" i="22"/>
  <c r="Z82" i="22"/>
  <c r="Z129" i="22"/>
  <c r="AB129" i="22" s="1"/>
  <c r="Z24" i="22"/>
  <c r="Z100" i="22"/>
  <c r="Z69" i="22"/>
  <c r="Z41" i="22"/>
  <c r="Z36" i="22"/>
  <c r="Z56" i="22"/>
  <c r="Z119" i="22"/>
  <c r="AB119" i="22" s="1"/>
  <c r="Z84" i="22"/>
  <c r="Z48" i="22"/>
  <c r="Z97" i="22"/>
  <c r="Z95" i="22"/>
  <c r="Z38" i="22"/>
  <c r="AB38" i="22" s="1"/>
  <c r="AD38" i="22" s="1"/>
  <c r="Z114" i="22"/>
  <c r="AB114" i="22" s="1"/>
  <c r="Z50" i="22"/>
  <c r="Z33" i="22"/>
  <c r="Z124" i="22"/>
  <c r="AB124" i="22" s="1"/>
  <c r="Z108" i="22"/>
  <c r="AB108" i="22" s="1"/>
  <c r="Z90" i="22"/>
  <c r="Z34" i="22"/>
  <c r="Z104" i="22"/>
  <c r="AB104" i="22" s="1"/>
  <c r="Z31" i="22"/>
  <c r="Z123" i="22"/>
  <c r="AB123" i="22" s="1"/>
  <c r="Z6" i="22"/>
  <c r="Z137" i="22"/>
  <c r="Z29" i="22"/>
  <c r="Z93" i="22"/>
  <c r="Z18" i="22"/>
  <c r="Z92" i="22"/>
  <c r="Z51" i="22"/>
  <c r="Z10" i="22"/>
  <c r="Z55" i="22"/>
  <c r="AB55" i="22" s="1"/>
  <c r="AD55" i="22" s="1"/>
  <c r="BD151" i="22" s="1"/>
  <c r="E136" i="72" s="1"/>
  <c r="Z127" i="22"/>
  <c r="AB127" i="22" s="1"/>
  <c r="Z13" i="22"/>
  <c r="Z83" i="22"/>
  <c r="Z116" i="22"/>
  <c r="AB116" i="22" s="1"/>
  <c r="Z115" i="22"/>
  <c r="AB115" i="22" s="1"/>
  <c r="Z139" i="22"/>
  <c r="Z65" i="22"/>
  <c r="Z45" i="22"/>
  <c r="Z12" i="22"/>
  <c r="Z35" i="22"/>
  <c r="Z132" i="22"/>
  <c r="AB132" i="22" s="1"/>
  <c r="Z42" i="22"/>
  <c r="Z88" i="22"/>
  <c r="Z99" i="22"/>
  <c r="Z258" i="50"/>
  <c r="Z4" i="22"/>
  <c r="AB4" i="22" s="1"/>
  <c r="AD4" i="22" s="1"/>
  <c r="AP256" i="50"/>
  <c r="AM249" i="32"/>
  <c r="AM248" i="32"/>
  <c r="C258" i="50"/>
  <c r="AJ258" i="50"/>
  <c r="S248" i="32"/>
  <c r="Z248" i="32" s="1"/>
  <c r="S249" i="32"/>
  <c r="Z249" i="32" s="1"/>
  <c r="W258" i="50"/>
  <c r="Y134" i="22"/>
  <c r="AA134" i="22" s="1"/>
  <c r="Y80" i="22"/>
  <c r="AA80" i="22" s="1"/>
  <c r="Y55" i="22"/>
  <c r="AA55" i="22" s="1"/>
  <c r="Y38" i="22"/>
  <c r="AA38" i="22" s="1"/>
  <c r="X257" i="50"/>
  <c r="V258" i="50"/>
  <c r="AL247" i="32"/>
  <c r="AI246" i="32"/>
  <c r="AN246" i="32" s="1"/>
  <c r="AL257" i="50"/>
  <c r="AB158" i="22"/>
  <c r="AB152" i="22"/>
  <c r="AA155" i="22"/>
  <c r="AB162" i="22"/>
  <c r="AB153" i="22"/>
  <c r="AB161" i="22"/>
  <c r="AA151" i="22"/>
  <c r="AA156" i="22"/>
  <c r="AA159" i="22"/>
  <c r="AB151" i="22"/>
  <c r="AA162" i="22"/>
  <c r="AB159" i="22"/>
  <c r="AB157" i="22"/>
  <c r="AA161" i="22"/>
  <c r="AC150" i="22"/>
  <c r="AE150" i="22" s="1"/>
  <c r="AA157" i="22"/>
  <c r="AB155" i="22"/>
  <c r="AA154" i="22"/>
  <c r="AB160" i="22"/>
  <c r="AA158" i="22"/>
  <c r="AB156" i="22"/>
  <c r="AB150" i="22"/>
  <c r="AA153" i="22"/>
  <c r="AA152" i="22"/>
  <c r="AA160" i="22"/>
  <c r="AB154" i="22"/>
  <c r="E250" i="32"/>
  <c r="Y123" i="22"/>
  <c r="AA123" i="22" s="1"/>
  <c r="Y116" i="22"/>
  <c r="AA116" i="22" s="1"/>
  <c r="Y124" i="22"/>
  <c r="AA124" i="22" s="1"/>
  <c r="Y115" i="22"/>
  <c r="AA115" i="22" s="1"/>
  <c r="BC68" i="22" s="1"/>
  <c r="Y119" i="22"/>
  <c r="AA119" i="22" s="1"/>
  <c r="BC69" i="22" s="1"/>
  <c r="Y140" i="22"/>
  <c r="Y129" i="22"/>
  <c r="AA129" i="22" s="1"/>
  <c r="Y139" i="22"/>
  <c r="Y133" i="22"/>
  <c r="AA133" i="22" s="1"/>
  <c r="BC103" i="22" s="1"/>
  <c r="Y138" i="22"/>
  <c r="Y136" i="22"/>
  <c r="Y135" i="22"/>
  <c r="Y137" i="22"/>
  <c r="Y132" i="22"/>
  <c r="AA132" i="22" s="1"/>
  <c r="Y131" i="22"/>
  <c r="AA131" i="22" s="1"/>
  <c r="AL250" i="11" a="1"/>
  <c r="AL250" i="11" s="1"/>
  <c r="E251" i="32" s="1"/>
  <c r="Y50" i="22"/>
  <c r="Y122" i="22"/>
  <c r="AA122" i="22" s="1"/>
  <c r="Y113" i="22"/>
  <c r="AA113" i="22" s="1"/>
  <c r="BC66" i="22" s="1"/>
  <c r="Y108" i="22"/>
  <c r="AA108" i="22" s="1"/>
  <c r="BC64" i="22" s="1"/>
  <c r="Y107" i="22"/>
  <c r="AA107" i="22" s="1"/>
  <c r="Y126" i="22"/>
  <c r="AA126" i="22" s="1"/>
  <c r="Y103" i="22"/>
  <c r="AA103" i="22" s="1"/>
  <c r="Y117" i="22"/>
  <c r="AA117" i="22" s="1"/>
  <c r="BC73" i="22" s="1"/>
  <c r="Y118" i="22"/>
  <c r="AA118" i="22" s="1"/>
  <c r="BC24" i="22" s="1"/>
  <c r="Y106" i="22"/>
  <c r="AA106" i="22" s="1"/>
  <c r="BC63" i="22" s="1"/>
  <c r="Y121" i="22"/>
  <c r="AA121" i="22" s="1"/>
  <c r="BC71" i="22" s="1"/>
  <c r="Y112" i="22"/>
  <c r="AA112" i="22" s="1"/>
  <c r="Y125" i="22"/>
  <c r="AA125" i="22" s="1"/>
  <c r="Y110" i="22"/>
  <c r="AA110" i="22" s="1"/>
  <c r="BC65" i="22" s="1"/>
  <c r="Y111" i="22"/>
  <c r="AA111" i="22" s="1"/>
  <c r="Y130" i="22"/>
  <c r="Y104" i="22"/>
  <c r="AA104" i="22" s="1"/>
  <c r="BC62" i="22" s="1"/>
  <c r="Y127" i="22"/>
  <c r="AA127" i="22" s="1"/>
  <c r="Y114" i="22"/>
  <c r="AA114" i="22" s="1"/>
  <c r="BC67" i="22" s="1"/>
  <c r="Y128" i="22"/>
  <c r="AA128" i="22" s="1"/>
  <c r="Y120" i="22"/>
  <c r="AA120" i="22" s="1"/>
  <c r="BC70" i="22" s="1"/>
  <c r="Y109" i="22"/>
  <c r="AA109" i="22" s="1"/>
  <c r="Y105" i="22"/>
  <c r="AA105" i="22" s="1"/>
  <c r="Y51" i="22"/>
  <c r="Y27" i="22"/>
  <c r="Y60" i="22"/>
  <c r="Y31" i="22"/>
  <c r="Y83" i="22"/>
  <c r="Y34" i="22"/>
  <c r="Y4" i="22"/>
  <c r="Y45" i="22"/>
  <c r="Y14" i="22"/>
  <c r="Y17" i="22"/>
  <c r="Y64" i="22"/>
  <c r="Y33" i="22"/>
  <c r="Y19" i="22"/>
  <c r="Y56" i="22"/>
  <c r="Y21" i="22"/>
  <c r="Y73" i="22"/>
  <c r="Y91" i="22"/>
  <c r="Y8" i="22"/>
  <c r="Y13" i="22"/>
  <c r="Y9" i="22"/>
  <c r="Y95" i="22"/>
  <c r="Y87" i="22"/>
  <c r="Y94" i="22"/>
  <c r="Y28" i="22"/>
  <c r="Y54" i="22"/>
  <c r="Y101" i="22"/>
  <c r="Y22" i="22"/>
  <c r="Y98" i="22"/>
  <c r="Y70" i="22"/>
  <c r="Y23" i="22"/>
  <c r="Y78" i="22"/>
  <c r="Y71" i="22"/>
  <c r="Y76" i="22"/>
  <c r="Y99" i="22"/>
  <c r="Y68" i="22"/>
  <c r="AA68" i="22" s="1"/>
  <c r="Y77" i="22"/>
  <c r="Y47" i="22"/>
  <c r="Y79" i="22"/>
  <c r="Y5" i="22"/>
  <c r="Y32" i="22"/>
  <c r="Y53" i="22"/>
  <c r="Y62" i="22"/>
  <c r="Y69" i="22"/>
  <c r="Y90" i="22"/>
  <c r="Y61" i="22"/>
  <c r="Y66" i="22"/>
  <c r="Y30" i="22"/>
  <c r="Y6" i="22"/>
  <c r="Y86" i="22"/>
  <c r="Y82" i="22"/>
  <c r="Y35" i="22"/>
  <c r="Y67" i="22"/>
  <c r="Y72" i="22"/>
  <c r="Y74" i="22"/>
  <c r="Y25" i="22"/>
  <c r="Y102" i="22"/>
  <c r="Y43" i="22"/>
  <c r="Y10" i="22"/>
  <c r="Y88" i="22"/>
  <c r="Y89" i="22"/>
  <c r="Y40" i="22"/>
  <c r="Y44" i="22"/>
  <c r="Y16" i="22"/>
  <c r="Y57" i="22"/>
  <c r="Y12" i="22"/>
  <c r="Y39" i="22"/>
  <c r="Y96" i="22"/>
  <c r="Y37" i="22"/>
  <c r="Y41" i="22"/>
  <c r="Y59" i="22"/>
  <c r="Y84" i="22"/>
  <c r="Y85" i="22"/>
  <c r="Y48" i="22"/>
  <c r="Y75" i="22"/>
  <c r="Y58" i="22"/>
  <c r="Y11" i="22"/>
  <c r="Y63" i="22"/>
  <c r="Y65" i="22"/>
  <c r="Y100" i="22"/>
  <c r="Y20" i="22"/>
  <c r="Y7" i="22"/>
  <c r="Y18" i="22"/>
  <c r="Y42" i="22"/>
  <c r="Y52" i="22"/>
  <c r="Y93" i="22"/>
  <c r="Y49" i="22"/>
  <c r="Y26" i="22"/>
  <c r="Y46" i="22"/>
  <c r="Y97" i="22"/>
  <c r="Y92" i="22"/>
  <c r="Y29" i="22"/>
  <c r="Y81" i="22"/>
  <c r="Y36" i="22"/>
  <c r="Y24" i="22"/>
  <c r="AQ150" i="59" a="1"/>
  <c r="AQ150" i="59" s="1"/>
  <c r="AM135" i="11" a="1"/>
  <c r="AM135" i="11" s="1"/>
  <c r="BD104" i="22" l="1"/>
  <c r="E100" i="72" s="1"/>
  <c r="AD248" i="32"/>
  <c r="AG248" i="32" s="1"/>
  <c r="AH248" i="32" s="1"/>
  <c r="AD249" i="32"/>
  <c r="AG249" i="32" s="1"/>
  <c r="AH249" i="32" s="1"/>
  <c r="AC134" i="22"/>
  <c r="AO35" i="22" s="1"/>
  <c r="AM35" i="22"/>
  <c r="E72" i="36" s="1"/>
  <c r="G72" i="36" s="1"/>
  <c r="AD134" i="22"/>
  <c r="AP35" i="22" s="1"/>
  <c r="AN35" i="22"/>
  <c r="F72" i="36" s="1"/>
  <c r="H72" i="36" s="1"/>
  <c r="T250" i="32"/>
  <c r="O250" i="32"/>
  <c r="T251" i="32"/>
  <c r="O251" i="32"/>
  <c r="C248" i="32"/>
  <c r="W248" i="32"/>
  <c r="X248" i="32" s="1"/>
  <c r="AJ249" i="32"/>
  <c r="C249" i="32"/>
  <c r="AJ248" i="32"/>
  <c r="AC55" i="22"/>
  <c r="BC151" i="22"/>
  <c r="AC80" i="22"/>
  <c r="BC134" i="22"/>
  <c r="AC38" i="22"/>
  <c r="BC104" i="22"/>
  <c r="W249" i="32"/>
  <c r="X249" i="32" s="1"/>
  <c r="X258" i="50"/>
  <c r="V248" i="32"/>
  <c r="AH258" i="50"/>
  <c r="AI258" i="50" s="1"/>
  <c r="AH257" i="50"/>
  <c r="AD2" i="50" s="1"/>
  <c r="AK251" i="32"/>
  <c r="AK250" i="32"/>
  <c r="AI247" i="32"/>
  <c r="AN247" i="32" s="1"/>
  <c r="AL258" i="50"/>
  <c r="AC152" i="22"/>
  <c r="AE152" i="22" s="1"/>
  <c r="E122" i="36"/>
  <c r="AC157" i="22"/>
  <c r="AE157" i="22" s="1"/>
  <c r="E127" i="36"/>
  <c r="AC156" i="22"/>
  <c r="AE156" i="22" s="1"/>
  <c r="E126" i="36"/>
  <c r="AC153" i="22"/>
  <c r="AE153" i="22" s="1"/>
  <c r="E123" i="36"/>
  <c r="AC151" i="22"/>
  <c r="AE151" i="22" s="1"/>
  <c r="E121" i="36"/>
  <c r="AD150" i="22"/>
  <c r="F120" i="36"/>
  <c r="AC161" i="22"/>
  <c r="AE161" i="22" s="1"/>
  <c r="E131" i="36"/>
  <c r="AD161" i="22"/>
  <c r="F131" i="36"/>
  <c r="AD156" i="22"/>
  <c r="D34" i="104" s="1"/>
  <c r="F126" i="36"/>
  <c r="AD157" i="22"/>
  <c r="D35" i="104" s="1"/>
  <c r="F127" i="36"/>
  <c r="AD153" i="22"/>
  <c r="D24" i="104" s="1"/>
  <c r="F123" i="36"/>
  <c r="AC158" i="22"/>
  <c r="AE158" i="22" s="1"/>
  <c r="E128" i="36"/>
  <c r="AD159" i="22"/>
  <c r="F129" i="36"/>
  <c r="AD162" i="22"/>
  <c r="F132" i="36"/>
  <c r="AD160" i="22"/>
  <c r="F130" i="36"/>
  <c r="AC162" i="22"/>
  <c r="AE162" i="22" s="1"/>
  <c r="E132" i="36"/>
  <c r="AC155" i="22"/>
  <c r="AE155" i="22" s="1"/>
  <c r="E125" i="36"/>
  <c r="AD154" i="22"/>
  <c r="D32" i="104" s="1"/>
  <c r="F124" i="36"/>
  <c r="AC154" i="22"/>
  <c r="AE154" i="22" s="1"/>
  <c r="E124" i="36"/>
  <c r="AD151" i="22"/>
  <c r="F121" i="36"/>
  <c r="AD152" i="22"/>
  <c r="F122" i="36"/>
  <c r="AC160" i="22"/>
  <c r="AE160" i="22" s="1"/>
  <c r="E130" i="36"/>
  <c r="AD155" i="22"/>
  <c r="D33" i="104" s="1"/>
  <c r="F125" i="36"/>
  <c r="AC159" i="22"/>
  <c r="AE159" i="22" s="1"/>
  <c r="E129" i="36"/>
  <c r="AD158" i="22"/>
  <c r="F128" i="36"/>
  <c r="V249" i="32"/>
  <c r="A250" i="32"/>
  <c r="B250" i="32"/>
  <c r="R250" i="32" s="1"/>
  <c r="A251" i="32"/>
  <c r="B251" i="32"/>
  <c r="R251" i="32" s="1"/>
  <c r="G250" i="32"/>
  <c r="I250" i="32"/>
  <c r="J250" i="32"/>
  <c r="M250" i="32"/>
  <c r="N250" i="32"/>
  <c r="L250" i="32"/>
  <c r="F250" i="32"/>
  <c r="U250" i="32" s="1"/>
  <c r="H250" i="32"/>
  <c r="K250" i="32"/>
  <c r="M251" i="32"/>
  <c r="G251" i="32"/>
  <c r="H251" i="32"/>
  <c r="F251" i="32"/>
  <c r="U251" i="32" s="1"/>
  <c r="I251" i="32"/>
  <c r="L251" i="32"/>
  <c r="J251" i="32"/>
  <c r="K251" i="32"/>
  <c r="N251" i="32"/>
  <c r="AB84" i="22"/>
  <c r="AB22" i="22"/>
  <c r="AB16" i="22"/>
  <c r="AB96" i="22"/>
  <c r="AB76" i="22"/>
  <c r="AB57" i="22"/>
  <c r="AB138" i="22"/>
  <c r="AB19" i="22"/>
  <c r="AB49" i="22"/>
  <c r="AB14" i="22"/>
  <c r="AB32" i="22"/>
  <c r="AB94" i="22"/>
  <c r="AB87" i="22"/>
  <c r="AB27" i="22"/>
  <c r="AB78" i="22"/>
  <c r="AB28" i="22"/>
  <c r="AB58" i="22"/>
  <c r="AB62" i="22"/>
  <c r="AB50" i="22"/>
  <c r="AB99" i="22"/>
  <c r="AB7" i="22"/>
  <c r="AB65" i="22"/>
  <c r="AB13" i="22"/>
  <c r="AB86" i="22"/>
  <c r="AB51" i="22"/>
  <c r="AB48" i="22"/>
  <c r="AB39" i="22"/>
  <c r="AB9" i="22"/>
  <c r="AB74" i="22"/>
  <c r="AB85" i="22"/>
  <c r="AB137" i="22"/>
  <c r="AB136" i="22"/>
  <c r="AB26" i="22"/>
  <c r="AB82" i="22"/>
  <c r="AB11" i="22"/>
  <c r="AB81" i="22"/>
  <c r="AB92" i="22"/>
  <c r="AB34" i="22"/>
  <c r="AB5" i="22"/>
  <c r="AB37" i="22"/>
  <c r="AB42" i="22"/>
  <c r="AB8" i="22"/>
  <c r="AB75" i="22"/>
  <c r="AB36" i="22"/>
  <c r="AB90" i="22"/>
  <c r="AB33" i="22"/>
  <c r="AB100" i="22"/>
  <c r="AB140" i="22"/>
  <c r="AB41" i="22"/>
  <c r="AB12" i="22"/>
  <c r="AB97" i="22"/>
  <c r="AB61" i="22"/>
  <c r="AB52" i="22"/>
  <c r="AB72" i="22"/>
  <c r="AB18" i="22"/>
  <c r="AB23" i="22"/>
  <c r="AB31" i="22"/>
  <c r="AB45" i="22"/>
  <c r="AB77" i="22"/>
  <c r="AB89" i="22"/>
  <c r="AB70" i="22"/>
  <c r="AB25" i="22"/>
  <c r="AB17" i="22"/>
  <c r="AB83" i="22"/>
  <c r="AB46" i="22"/>
  <c r="AB10" i="22"/>
  <c r="AB79" i="22"/>
  <c r="AB64" i="22"/>
  <c r="AB95" i="22"/>
  <c r="AB21" i="22"/>
  <c r="AB98" i="22"/>
  <c r="AB67" i="22"/>
  <c r="AB91" i="22"/>
  <c r="AB20" i="22"/>
  <c r="AB93" i="22"/>
  <c r="AB73" i="22"/>
  <c r="AB66" i="22"/>
  <c r="AB54" i="22"/>
  <c r="AB6" i="22"/>
  <c r="AB60" i="22"/>
  <c r="AB63" i="22"/>
  <c r="AB35" i="22"/>
  <c r="AB69" i="22"/>
  <c r="AB53" i="22"/>
  <c r="AB43" i="22"/>
  <c r="AB44" i="22"/>
  <c r="AB30" i="22"/>
  <c r="AB40" i="22"/>
  <c r="AB71" i="22"/>
  <c r="AB59" i="22"/>
  <c r="AB101" i="22"/>
  <c r="AB47" i="22"/>
  <c r="AB56" i="22"/>
  <c r="AB88" i="22"/>
  <c r="AB102" i="22"/>
  <c r="AB29" i="22"/>
  <c r="AB130" i="22"/>
  <c r="AB135" i="22"/>
  <c r="AB139" i="22"/>
  <c r="AA46" i="22"/>
  <c r="BC43" i="22" s="1"/>
  <c r="AA88" i="22"/>
  <c r="BC51" i="22" s="1"/>
  <c r="AA6" i="22"/>
  <c r="BC82" i="22" s="1"/>
  <c r="AA69" i="22"/>
  <c r="AA71" i="22"/>
  <c r="AA8" i="22"/>
  <c r="AA51" i="22"/>
  <c r="AA138" i="22"/>
  <c r="AC138" i="22" s="1"/>
  <c r="AA93" i="22"/>
  <c r="BC56" i="22" s="1"/>
  <c r="AA75" i="22"/>
  <c r="BC132" i="22" s="1"/>
  <c r="AA10" i="22"/>
  <c r="BC114" i="22" s="1"/>
  <c r="AA74" i="22"/>
  <c r="BC131" i="22" s="1"/>
  <c r="AA67" i="22"/>
  <c r="BC97" i="22" s="1"/>
  <c r="AA61" i="22"/>
  <c r="BC156" i="22" s="1"/>
  <c r="AA62" i="22"/>
  <c r="BC124" i="22" s="1"/>
  <c r="AA47" i="22"/>
  <c r="BC44" i="22" s="1"/>
  <c r="AA78" i="22"/>
  <c r="BC159" i="22" s="1"/>
  <c r="AA23" i="22"/>
  <c r="BC33" i="22" s="1"/>
  <c r="AA22" i="22"/>
  <c r="BC85" i="22" s="1"/>
  <c r="AA28" i="22"/>
  <c r="BC88" i="22" s="1"/>
  <c r="AA94" i="22"/>
  <c r="BC138" i="22" s="1"/>
  <c r="AA95" i="22"/>
  <c r="BC98" i="22" s="1"/>
  <c r="AA56" i="22"/>
  <c r="BC48" i="22" s="1"/>
  <c r="AA17" i="22"/>
  <c r="BC32" i="22" s="1"/>
  <c r="AA45" i="22"/>
  <c r="BC42" i="22" s="1"/>
  <c r="AA60" i="22"/>
  <c r="BC125" i="22" s="1"/>
  <c r="AA50" i="22"/>
  <c r="BC45" i="22" s="1"/>
  <c r="AA137" i="22"/>
  <c r="AC137" i="22" s="1"/>
  <c r="AA139" i="22"/>
  <c r="AC139" i="22" s="1"/>
  <c r="AA65" i="22"/>
  <c r="BC96" i="22" s="1"/>
  <c r="AA79" i="22"/>
  <c r="BC136" i="22" s="1"/>
  <c r="AA87" i="22"/>
  <c r="AA36" i="22"/>
  <c r="BC36" i="22" s="1"/>
  <c r="AA85" i="22"/>
  <c r="AA37" i="22"/>
  <c r="BC149" i="22" s="1"/>
  <c r="AA96" i="22"/>
  <c r="BC99" i="22" s="1"/>
  <c r="AA40" i="22"/>
  <c r="AA82" i="22"/>
  <c r="AA30" i="22"/>
  <c r="BC90" i="22" s="1"/>
  <c r="AA77" i="22"/>
  <c r="BC135" i="22" s="1"/>
  <c r="AA76" i="22"/>
  <c r="AA70" i="22"/>
  <c r="BC128" i="22" s="1"/>
  <c r="AA54" i="22"/>
  <c r="BC123" i="22" s="1"/>
  <c r="AA9" i="22"/>
  <c r="BC118" i="22" s="1"/>
  <c r="AA19" i="22"/>
  <c r="AA14" i="22"/>
  <c r="BC30" i="22" s="1"/>
  <c r="AA83" i="22"/>
  <c r="AA130" i="22"/>
  <c r="BC72" i="22" s="1"/>
  <c r="AA136" i="22"/>
  <c r="AC136" i="22" s="1"/>
  <c r="AA24" i="22"/>
  <c r="BC86" i="22" s="1"/>
  <c r="AA29" i="22"/>
  <c r="BC89" i="22" s="1"/>
  <c r="AA49" i="22"/>
  <c r="BC94" i="22" s="1"/>
  <c r="AA100" i="22"/>
  <c r="BC59" i="22" s="1"/>
  <c r="AA84" i="22"/>
  <c r="AA57" i="22"/>
  <c r="AA25" i="22"/>
  <c r="BC34" i="22" s="1"/>
  <c r="AA32" i="22"/>
  <c r="BC35" i="22" s="1"/>
  <c r="AA99" i="22"/>
  <c r="BC58" i="22" s="1"/>
  <c r="AA91" i="22"/>
  <c r="BC53" i="22" s="1"/>
  <c r="AA73" i="22"/>
  <c r="BC50" i="22" s="1"/>
  <c r="AA64" i="22"/>
  <c r="BC157" i="22" s="1"/>
  <c r="AA34" i="22"/>
  <c r="AA31" i="22"/>
  <c r="BC91" i="22" s="1"/>
  <c r="AA135" i="22"/>
  <c r="AA92" i="22"/>
  <c r="BC54" i="22" s="1"/>
  <c r="AA42" i="22"/>
  <c r="BC39" i="22" s="1"/>
  <c r="AA63" i="22"/>
  <c r="AA59" i="22"/>
  <c r="BC95" i="22" s="1"/>
  <c r="AA16" i="22"/>
  <c r="BC31" i="22" s="1"/>
  <c r="AA97" i="22"/>
  <c r="BC100" i="22" s="1"/>
  <c r="AA20" i="22"/>
  <c r="BC119" i="22" s="1"/>
  <c r="AA11" i="22"/>
  <c r="BC115" i="22" s="1"/>
  <c r="AA48" i="22"/>
  <c r="BC93" i="22" s="1"/>
  <c r="AA44" i="22"/>
  <c r="BC41" i="22" s="1"/>
  <c r="AA43" i="22"/>
  <c r="BC40" i="22" s="1"/>
  <c r="AA72" i="22"/>
  <c r="BC130" i="22" s="1"/>
  <c r="AA35" i="22"/>
  <c r="BC121" i="22" s="1"/>
  <c r="AA81" i="22"/>
  <c r="BC137" i="22" s="1"/>
  <c r="AA26" i="22"/>
  <c r="AA52" i="22"/>
  <c r="BC46" i="22" s="1"/>
  <c r="AA18" i="22"/>
  <c r="BC5" i="22" s="1"/>
  <c r="AA7" i="22"/>
  <c r="BC83" i="22" s="1"/>
  <c r="AA58" i="22"/>
  <c r="BC49" i="22" s="1"/>
  <c r="AA41" i="22"/>
  <c r="BC122" i="22" s="1"/>
  <c r="AA39" i="22"/>
  <c r="BC37" i="22" s="1"/>
  <c r="AA12" i="22"/>
  <c r="BC116" i="22" s="1"/>
  <c r="AA89" i="22"/>
  <c r="AA102" i="22"/>
  <c r="BC61" i="22" s="1"/>
  <c r="AA86" i="22"/>
  <c r="AA66" i="22"/>
  <c r="BC158" i="22" s="1"/>
  <c r="AA90" i="22"/>
  <c r="BC52" i="22" s="1"/>
  <c r="AA53" i="22"/>
  <c r="BC47" i="22" s="1"/>
  <c r="AA5" i="22"/>
  <c r="BC81" i="22" s="1"/>
  <c r="AA98" i="22"/>
  <c r="BC57" i="22" s="1"/>
  <c r="AA101" i="22"/>
  <c r="BC60" i="22" s="1"/>
  <c r="AA13" i="22"/>
  <c r="BC117" i="22" s="1"/>
  <c r="AA21" i="22"/>
  <c r="BC84" i="22" s="1"/>
  <c r="AA33" i="22"/>
  <c r="BC92" i="22" s="1"/>
  <c r="AA27" i="22"/>
  <c r="BC87" i="22" s="1"/>
  <c r="AA140" i="22"/>
  <c r="AC140" i="22" s="1"/>
  <c r="AA4" i="22"/>
  <c r="BC79" i="22" s="1"/>
  <c r="AC131" i="22"/>
  <c r="BC147" i="22"/>
  <c r="AC122" i="22"/>
  <c r="BC140" i="22"/>
  <c r="AC124" i="22"/>
  <c r="BC142" i="22"/>
  <c r="AC128" i="22"/>
  <c r="BC146" i="22"/>
  <c r="AC116" i="22"/>
  <c r="BC139" i="22"/>
  <c r="AC126" i="22"/>
  <c r="BC144" i="22"/>
  <c r="AC123" i="22"/>
  <c r="BC141" i="22"/>
  <c r="AC127" i="22"/>
  <c r="BC145" i="22"/>
  <c r="AC125" i="22"/>
  <c r="BC143" i="22"/>
  <c r="AC132" i="22"/>
  <c r="BC148" i="22"/>
  <c r="AD122" i="22"/>
  <c r="BD140" i="22" s="1"/>
  <c r="AD125" i="22"/>
  <c r="BD143" i="22" s="1"/>
  <c r="AD131" i="22"/>
  <c r="BD147" i="22" s="1"/>
  <c r="AD116" i="22"/>
  <c r="BD139" i="22" s="1"/>
  <c r="AD128" i="22"/>
  <c r="BD146" i="22" s="1"/>
  <c r="AD126" i="22"/>
  <c r="BD144" i="22" s="1"/>
  <c r="AD127" i="22"/>
  <c r="BD145" i="22" s="1"/>
  <c r="AD132" i="22"/>
  <c r="BD148" i="22" s="1"/>
  <c r="AD124" i="22"/>
  <c r="BD142" i="22" s="1"/>
  <c r="AD123" i="22"/>
  <c r="BD141" i="22" s="1"/>
  <c r="AD112" i="22"/>
  <c r="BD101" i="22" s="1"/>
  <c r="AC112" i="22"/>
  <c r="BC101" i="22"/>
  <c r="AC133" i="22"/>
  <c r="AC129" i="22"/>
  <c r="BC102" i="22"/>
  <c r="AC120" i="22"/>
  <c r="AC104" i="22"/>
  <c r="AC108" i="22"/>
  <c r="AC114" i="22"/>
  <c r="AC110" i="22"/>
  <c r="AC113" i="22"/>
  <c r="AC119" i="22"/>
  <c r="AC115" i="22"/>
  <c r="AC121" i="22"/>
  <c r="AC106" i="22"/>
  <c r="AD119" i="22"/>
  <c r="BD69" i="22" s="1"/>
  <c r="AD108" i="22"/>
  <c r="BD64" i="22" s="1"/>
  <c r="AD104" i="22"/>
  <c r="BD62" i="22" s="1"/>
  <c r="AD106" i="22"/>
  <c r="BD63" i="22" s="1"/>
  <c r="AD120" i="22"/>
  <c r="BD70" i="22" s="1"/>
  <c r="AD115" i="22"/>
  <c r="BD68" i="22" s="1"/>
  <c r="AD113" i="22"/>
  <c r="BD66" i="22" s="1"/>
  <c r="AD114" i="22"/>
  <c r="BD67" i="22" s="1"/>
  <c r="AD121" i="22"/>
  <c r="BD71" i="22" s="1"/>
  <c r="AD110" i="22"/>
  <c r="BD65" i="22" s="1"/>
  <c r="AD111" i="22"/>
  <c r="AD109" i="22"/>
  <c r="AD118" i="22"/>
  <c r="AD107" i="22"/>
  <c r="AC118" i="22"/>
  <c r="BC23" i="22"/>
  <c r="AC105" i="22"/>
  <c r="AC111" i="22"/>
  <c r="BC22" i="22"/>
  <c r="AC107" i="22"/>
  <c r="BC20" i="22"/>
  <c r="AC109" i="22"/>
  <c r="BC21" i="22"/>
  <c r="AD129" i="22"/>
  <c r="BD102" i="22" s="1"/>
  <c r="AN32" i="22"/>
  <c r="AM32" i="22"/>
  <c r="AD117" i="22"/>
  <c r="BD73" i="22" s="1"/>
  <c r="E82" i="72" s="1"/>
  <c r="AD103" i="22"/>
  <c r="AC117" i="22"/>
  <c r="AC103" i="22"/>
  <c r="AL251" i="11" a="1"/>
  <c r="AL251" i="11" s="1"/>
  <c r="V259" i="50"/>
  <c r="V260" i="50" s="1"/>
  <c r="Y15" i="22"/>
  <c r="AQ151" i="59" a="1"/>
  <c r="AQ151" i="59" s="1"/>
  <c r="AM136" i="11" a="1"/>
  <c r="AM136" i="11" s="1"/>
  <c r="BC105" i="22" l="1"/>
  <c r="AN34" i="22"/>
  <c r="F73" i="36" s="1"/>
  <c r="H73" i="36" s="1"/>
  <c r="AM34" i="22"/>
  <c r="E73" i="36" s="1"/>
  <c r="G73" i="36" s="1"/>
  <c r="AF150" i="22"/>
  <c r="E14" i="104" s="1"/>
  <c r="H13" i="104" s="1"/>
  <c r="D14" i="104"/>
  <c r="Q251" i="32"/>
  <c r="P251" i="32" s="1"/>
  <c r="Q250" i="32"/>
  <c r="P250" i="32" s="1"/>
  <c r="AF158" i="22"/>
  <c r="E36" i="104" s="1"/>
  <c r="D36" i="104"/>
  <c r="AP258" i="50"/>
  <c r="AM251" i="32"/>
  <c r="AM250" i="32"/>
  <c r="S251" i="32"/>
  <c r="Z251" i="32" s="1"/>
  <c r="S250" i="32"/>
  <c r="Z250" i="32" s="1"/>
  <c r="AC135" i="22"/>
  <c r="BC80" i="22"/>
  <c r="AF155" i="22"/>
  <c r="E33" i="104" s="1"/>
  <c r="AF152" i="22"/>
  <c r="E23" i="104" s="1"/>
  <c r="D23" i="104"/>
  <c r="AF160" i="22"/>
  <c r="E45" i="104" s="1"/>
  <c r="D45" i="104"/>
  <c r="AF159" i="22"/>
  <c r="D44" i="104"/>
  <c r="AF153" i="22"/>
  <c r="E24" i="104" s="1"/>
  <c r="AF156" i="22"/>
  <c r="E34" i="104" s="1"/>
  <c r="AF151" i="22"/>
  <c r="E22" i="104" s="1"/>
  <c r="D22" i="104"/>
  <c r="AF154" i="22"/>
  <c r="E32" i="104" s="1"/>
  <c r="AF162" i="22"/>
  <c r="E47" i="104" s="1"/>
  <c r="D47" i="104"/>
  <c r="AF157" i="22"/>
  <c r="E35" i="104" s="1"/>
  <c r="AF161" i="22"/>
  <c r="E46" i="104" s="1"/>
  <c r="D46" i="104"/>
  <c r="E161" i="72"/>
  <c r="E152" i="72"/>
  <c r="E113" i="72"/>
  <c r="E158" i="72"/>
  <c r="E160" i="72"/>
  <c r="E157" i="72"/>
  <c r="E156" i="72"/>
  <c r="E114" i="72"/>
  <c r="E154" i="72"/>
  <c r="E155" i="72"/>
  <c r="E159" i="72"/>
  <c r="E153" i="72"/>
  <c r="AI257" i="50"/>
  <c r="AL249" i="32"/>
  <c r="AL248" i="32"/>
  <c r="BC150" i="22"/>
  <c r="BC12" i="22"/>
  <c r="AD139" i="22"/>
  <c r="AD135" i="22"/>
  <c r="AD140" i="22"/>
  <c r="AD136" i="22"/>
  <c r="AD137" i="22"/>
  <c r="AD138" i="22"/>
  <c r="BC19" i="22"/>
  <c r="BC10" i="22"/>
  <c r="BC9" i="22"/>
  <c r="BC6" i="22"/>
  <c r="BC14" i="22"/>
  <c r="E79" i="72"/>
  <c r="E72" i="72"/>
  <c r="E71" i="72"/>
  <c r="E74" i="72"/>
  <c r="E73" i="72"/>
  <c r="E76" i="72"/>
  <c r="E80" i="72"/>
  <c r="E78" i="72"/>
  <c r="E75" i="72"/>
  <c r="E77" i="72"/>
  <c r="BD23" i="22"/>
  <c r="BD24" i="22"/>
  <c r="BD21" i="22"/>
  <c r="BC15" i="22"/>
  <c r="BC17" i="22"/>
  <c r="BD22" i="22"/>
  <c r="BC16" i="22"/>
  <c r="BC13" i="22"/>
  <c r="BC7" i="22"/>
  <c r="BC18" i="22"/>
  <c r="BC8" i="22"/>
  <c r="BC11" i="22"/>
  <c r="BC127" i="22"/>
  <c r="BC126" i="22"/>
  <c r="G129" i="36"/>
  <c r="G149" i="36" s="1"/>
  <c r="E149" i="36"/>
  <c r="H121" i="36"/>
  <c r="H141" i="36" s="1"/>
  <c r="F141" i="36"/>
  <c r="G132" i="36"/>
  <c r="G152" i="36" s="1"/>
  <c r="E152" i="36"/>
  <c r="G128" i="36"/>
  <c r="G148" i="36" s="1"/>
  <c r="E148" i="36"/>
  <c r="H131" i="36"/>
  <c r="H151" i="36" s="1"/>
  <c r="F151" i="36"/>
  <c r="G123" i="36"/>
  <c r="G143" i="36" s="1"/>
  <c r="E143" i="36"/>
  <c r="H125" i="36"/>
  <c r="H145" i="36" s="1"/>
  <c r="F145" i="36"/>
  <c r="G124" i="36"/>
  <c r="G144" i="36" s="1"/>
  <c r="E144" i="36"/>
  <c r="H130" i="36"/>
  <c r="H150" i="36" s="1"/>
  <c r="F150" i="36"/>
  <c r="H123" i="36"/>
  <c r="H143" i="36" s="1"/>
  <c r="F143" i="36"/>
  <c r="G131" i="36"/>
  <c r="G151" i="36" s="1"/>
  <c r="E151" i="36"/>
  <c r="G126" i="36"/>
  <c r="G146" i="36" s="1"/>
  <c r="E146" i="36"/>
  <c r="G130" i="36"/>
  <c r="G150" i="36" s="1"/>
  <c r="E150" i="36"/>
  <c r="H124" i="36"/>
  <c r="H144" i="36" s="1"/>
  <c r="F144" i="36"/>
  <c r="H132" i="36"/>
  <c r="H152" i="36" s="1"/>
  <c r="F152" i="36"/>
  <c r="H127" i="36"/>
  <c r="H147" i="36" s="1"/>
  <c r="F147" i="36"/>
  <c r="H120" i="36"/>
  <c r="H140" i="36" s="1"/>
  <c r="F140" i="36"/>
  <c r="G127" i="36"/>
  <c r="G147" i="36" s="1"/>
  <c r="E147" i="36"/>
  <c r="H128" i="36"/>
  <c r="H148" i="36" s="1"/>
  <c r="F148" i="36"/>
  <c r="H122" i="36"/>
  <c r="H142" i="36" s="1"/>
  <c r="F142" i="36"/>
  <c r="G125" i="36"/>
  <c r="G145" i="36" s="1"/>
  <c r="E145" i="36"/>
  <c r="H129" i="36"/>
  <c r="H149" i="36" s="1"/>
  <c r="F149" i="36"/>
  <c r="H126" i="36"/>
  <c r="H146" i="36" s="1"/>
  <c r="F146" i="36"/>
  <c r="G121" i="36"/>
  <c r="G141" i="36" s="1"/>
  <c r="E141" i="36"/>
  <c r="G122" i="36"/>
  <c r="G142" i="36" s="1"/>
  <c r="E142" i="36"/>
  <c r="BC129" i="22"/>
  <c r="E252" i="32"/>
  <c r="AP30" i="22"/>
  <c r="AB24" i="22"/>
  <c r="AA15" i="22"/>
  <c r="BC120" i="22" s="1"/>
  <c r="AO30" i="22"/>
  <c r="AN33" i="22"/>
  <c r="AM33" i="22"/>
  <c r="AD133" i="22"/>
  <c r="BD103" i="22" s="1"/>
  <c r="AM30" i="22"/>
  <c r="AN30" i="22"/>
  <c r="AN31" i="22"/>
  <c r="AD105" i="22"/>
  <c r="BD20" i="22" s="1"/>
  <c r="AM31" i="22"/>
  <c r="AD130" i="22"/>
  <c r="BD72" i="22" s="1"/>
  <c r="AC130" i="22"/>
  <c r="AO29" i="22" s="1"/>
  <c r="AO32" i="22"/>
  <c r="AO33" i="22"/>
  <c r="AP32" i="22"/>
  <c r="AM29" i="22"/>
  <c r="AN29" i="22"/>
  <c r="AO31" i="22"/>
  <c r="AL252" i="11" a="1"/>
  <c r="AL252" i="11" s="1"/>
  <c r="E253" i="32" s="1"/>
  <c r="AQ152" i="59" a="1"/>
  <c r="AQ152" i="59" s="1"/>
  <c r="AM137" i="11" a="1"/>
  <c r="AM137" i="11" s="1"/>
  <c r="H22" i="104" l="1"/>
  <c r="H23" i="104" s="1"/>
  <c r="H21" i="104"/>
  <c r="D48" i="104"/>
  <c r="AD250" i="32"/>
  <c r="AG250" i="32" s="1"/>
  <c r="AH250" i="32" s="1"/>
  <c r="AD251" i="32"/>
  <c r="BD80" i="22"/>
  <c r="E109" i="72" s="1"/>
  <c r="T253" i="32"/>
  <c r="O253" i="32"/>
  <c r="T252" i="32"/>
  <c r="O252" i="32"/>
  <c r="AP257" i="50"/>
  <c r="AP259" i="50" s="1"/>
  <c r="L24" i="73" s="1"/>
  <c r="AQ259" i="50"/>
  <c r="H24" i="73" s="1"/>
  <c r="AJ250" i="32"/>
  <c r="C250" i="32"/>
  <c r="W250" i="32"/>
  <c r="X250" i="32" s="1"/>
  <c r="C251" i="32"/>
  <c r="AJ251" i="32"/>
  <c r="E71" i="36"/>
  <c r="G71" i="36" s="1"/>
  <c r="F71" i="36"/>
  <c r="H71" i="36" s="1"/>
  <c r="W251" i="32"/>
  <c r="X251" i="32" s="1"/>
  <c r="V250" i="32"/>
  <c r="E44" i="104"/>
  <c r="E28" i="72"/>
  <c r="E29" i="72"/>
  <c r="E30" i="72"/>
  <c r="E32" i="72"/>
  <c r="E31" i="72"/>
  <c r="E81" i="72"/>
  <c r="AK253" i="32"/>
  <c r="AK252" i="32"/>
  <c r="AI249" i="32"/>
  <c r="AN249" i="32" s="1"/>
  <c r="AI248" i="32"/>
  <c r="AN248" i="32" s="1"/>
  <c r="AP33" i="22"/>
  <c r="AP29" i="22"/>
  <c r="E115" i="72"/>
  <c r="AP31" i="22"/>
  <c r="V251" i="32"/>
  <c r="A253" i="32"/>
  <c r="B253" i="32"/>
  <c r="R253" i="32" s="1"/>
  <c r="A252" i="32"/>
  <c r="B252" i="32"/>
  <c r="R252" i="32" s="1"/>
  <c r="I253" i="32"/>
  <c r="K253" i="32"/>
  <c r="L253" i="32"/>
  <c r="H253" i="32"/>
  <c r="J253" i="32"/>
  <c r="M253" i="32"/>
  <c r="G253" i="32"/>
  <c r="N253" i="32"/>
  <c r="F253" i="32"/>
  <c r="U253" i="32" s="1"/>
  <c r="K252" i="32"/>
  <c r="M252" i="32"/>
  <c r="F252" i="32"/>
  <c r="U252" i="32" s="1"/>
  <c r="N252" i="32"/>
  <c r="G252" i="32"/>
  <c r="H252" i="32"/>
  <c r="I252" i="32"/>
  <c r="J252" i="32"/>
  <c r="L252" i="32"/>
  <c r="AB15" i="22"/>
  <c r="AL253" i="11" a="1"/>
  <c r="AL253" i="11" s="1"/>
  <c r="AQ153" i="59" a="1"/>
  <c r="AQ153" i="59" s="1"/>
  <c r="AM138" i="11" a="1"/>
  <c r="AM138" i="11" s="1"/>
  <c r="H28" i="73" l="1"/>
  <c r="J28" i="73"/>
  <c r="K28" i="73" s="1"/>
  <c r="H31" i="104"/>
  <c r="H14" i="104"/>
  <c r="G5" i="104" s="1"/>
  <c r="Q253" i="32"/>
  <c r="P253" i="32" s="1"/>
  <c r="Q252" i="32"/>
  <c r="P252" i="32" s="1"/>
  <c r="AG251" i="32"/>
  <c r="AH251" i="32" s="1"/>
  <c r="AM253" i="32"/>
  <c r="AM252" i="32"/>
  <c r="S252" i="32"/>
  <c r="AD252" i="32" s="1"/>
  <c r="S253" i="32"/>
  <c r="AD253" i="32" s="1"/>
  <c r="AL251" i="32"/>
  <c r="AL250" i="32"/>
  <c r="E254" i="32"/>
  <c r="AL254" i="11" a="1"/>
  <c r="AL254" i="11" s="1"/>
  <c r="AQ154" i="59" a="1"/>
  <c r="AQ154" i="59" s="1"/>
  <c r="AM139" i="11" a="1"/>
  <c r="AM139" i="11" s="1"/>
  <c r="G6" i="104" l="1"/>
  <c r="H32" i="73"/>
  <c r="T254" i="32"/>
  <c r="O254" i="32"/>
  <c r="AJ252" i="32"/>
  <c r="Z252" i="32"/>
  <c r="C253" i="32"/>
  <c r="Z253" i="32"/>
  <c r="C252" i="32"/>
  <c r="AJ253" i="32"/>
  <c r="W252" i="32"/>
  <c r="X252" i="32" s="1"/>
  <c r="W253" i="32"/>
  <c r="X253" i="32" s="1"/>
  <c r="V252" i="32"/>
  <c r="AK254" i="32"/>
  <c r="AG252" i="32"/>
  <c r="AH252" i="32" s="1"/>
  <c r="AG253" i="32"/>
  <c r="AH253" i="32" s="1"/>
  <c r="AI250" i="32"/>
  <c r="AN250" i="32" s="1"/>
  <c r="AI251" i="32"/>
  <c r="AN251" i="32" s="1"/>
  <c r="V253" i="32"/>
  <c r="A254" i="32"/>
  <c r="B254" i="32"/>
  <c r="R254" i="32" s="1"/>
  <c r="G254" i="32"/>
  <c r="I254" i="32"/>
  <c r="J254" i="32"/>
  <c r="L254" i="32"/>
  <c r="M254" i="32"/>
  <c r="N254" i="32"/>
  <c r="H254" i="32"/>
  <c r="F254" i="32"/>
  <c r="U254" i="32" s="1"/>
  <c r="K254" i="32"/>
  <c r="E255" i="32"/>
  <c r="AL255" i="11" a="1"/>
  <c r="AL255" i="11" s="1"/>
  <c r="E256" i="32" s="1"/>
  <c r="AQ155" i="59" a="1"/>
  <c r="AQ155" i="59" s="1"/>
  <c r="AM140" i="11" a="1"/>
  <c r="AM140" i="11" s="1"/>
  <c r="Q254" i="32" l="1"/>
  <c r="P254" i="32" s="1"/>
  <c r="J32" i="73"/>
  <c r="H41" i="73"/>
  <c r="T256" i="32"/>
  <c r="O256" i="32"/>
  <c r="T255" i="32"/>
  <c r="O255" i="32"/>
  <c r="AM254" i="32"/>
  <c r="S254" i="32"/>
  <c r="AD254" i="32" s="1"/>
  <c r="AK255" i="32"/>
  <c r="AK256" i="32"/>
  <c r="AL253" i="32"/>
  <c r="AL252" i="32"/>
  <c r="A255" i="32"/>
  <c r="B255" i="32"/>
  <c r="R255" i="32" s="1"/>
  <c r="A256" i="32"/>
  <c r="B256" i="32"/>
  <c r="R256" i="32" s="1"/>
  <c r="K256" i="32"/>
  <c r="F256" i="32"/>
  <c r="U256" i="32" s="1"/>
  <c r="N256" i="32"/>
  <c r="G256" i="32"/>
  <c r="H256" i="32"/>
  <c r="I256" i="32"/>
  <c r="M256" i="32"/>
  <c r="J256" i="32"/>
  <c r="L256" i="32"/>
  <c r="M255" i="32"/>
  <c r="G255" i="32"/>
  <c r="H255" i="32"/>
  <c r="N255" i="32"/>
  <c r="L255" i="32"/>
  <c r="F255" i="32"/>
  <c r="U255" i="32" s="1"/>
  <c r="J255" i="32"/>
  <c r="I255" i="32"/>
  <c r="K255" i="32"/>
  <c r="AL256" i="11" a="1"/>
  <c r="AL256" i="11" s="1"/>
  <c r="E257" i="32" s="1"/>
  <c r="AQ156" i="59" a="1"/>
  <c r="AQ156" i="59" s="1"/>
  <c r="AM141" i="11" a="1"/>
  <c r="AM141" i="11" s="1"/>
  <c r="Q256" i="32" l="1"/>
  <c r="P256" i="32" s="1"/>
  <c r="Q255" i="32"/>
  <c r="P255" i="32" s="1"/>
  <c r="T257" i="32"/>
  <c r="O257" i="32"/>
  <c r="C254" i="32"/>
  <c r="Z254" i="32"/>
  <c r="AM256" i="32"/>
  <c r="AM255" i="32"/>
  <c r="S255" i="32"/>
  <c r="Z255" i="32" s="1"/>
  <c r="AJ254" i="32"/>
  <c r="S256" i="32"/>
  <c r="Z256" i="32" s="1"/>
  <c r="W254" i="32"/>
  <c r="X254" i="32" s="1"/>
  <c r="AK257" i="32"/>
  <c r="AG254" i="32"/>
  <c r="AH254" i="32" s="1"/>
  <c r="AI253" i="32"/>
  <c r="AN253" i="32" s="1"/>
  <c r="AI252" i="32"/>
  <c r="AN252" i="32" s="1"/>
  <c r="V254" i="32"/>
  <c r="A257" i="32"/>
  <c r="Q257" i="32" s="1"/>
  <c r="B257" i="32"/>
  <c r="R257" i="32" s="1"/>
  <c r="I257" i="32"/>
  <c r="L257" i="32"/>
  <c r="F257" i="32"/>
  <c r="U257" i="32" s="1"/>
  <c r="G257" i="32"/>
  <c r="H257" i="32"/>
  <c r="J257" i="32"/>
  <c r="M257" i="32"/>
  <c r="K257" i="32"/>
  <c r="N257" i="32"/>
  <c r="AL257" i="11" a="1"/>
  <c r="AL257" i="11" s="1"/>
  <c r="AL258" i="11" s="1" a="1"/>
  <c r="AL258" i="11" s="1"/>
  <c r="AQ157" i="59" a="1"/>
  <c r="AQ157" i="59" s="1"/>
  <c r="AM142" i="11" a="1"/>
  <c r="AM142" i="11" s="1"/>
  <c r="AD255" i="32" l="1"/>
  <c r="AG255" i="32" s="1"/>
  <c r="AH255" i="32" s="1"/>
  <c r="AD256" i="32"/>
  <c r="AG256" i="32" s="1"/>
  <c r="AH256" i="32" s="1"/>
  <c r="AM257" i="32"/>
  <c r="P257" i="32"/>
  <c r="R6" i="32" a="1"/>
  <c r="R6" i="32" s="1"/>
  <c r="C256" i="32"/>
  <c r="AJ256" i="32"/>
  <c r="C255" i="32"/>
  <c r="AJ255" i="32"/>
  <c r="S257" i="32"/>
  <c r="Z257" i="32" s="1"/>
  <c r="W256" i="32"/>
  <c r="X256" i="32" s="1"/>
  <c r="W255" i="32"/>
  <c r="X255" i="32" s="1"/>
  <c r="AL254" i="32"/>
  <c r="V256" i="32"/>
  <c r="V255" i="32"/>
  <c r="AQ158" i="59" a="1"/>
  <c r="AQ158" i="59" s="1"/>
  <c r="AM143" i="11" a="1"/>
  <c r="AM143" i="11" s="1"/>
  <c r="AD257" i="32" l="1"/>
  <c r="AG257" i="32" s="1"/>
  <c r="AH257" i="32" s="1"/>
  <c r="AJ257" i="32"/>
  <c r="C257" i="32"/>
  <c r="W257" i="32"/>
  <c r="X257" i="32" s="1"/>
  <c r="N80" i="22"/>
  <c r="P80" i="22" s="1"/>
  <c r="M134" i="22"/>
  <c r="O134" i="22" s="1"/>
  <c r="N134" i="22"/>
  <c r="P134" i="22" s="1"/>
  <c r="N55" i="22"/>
  <c r="P55" i="22" s="1"/>
  <c r="M80" i="22"/>
  <c r="O80" i="22" s="1"/>
  <c r="N38" i="22"/>
  <c r="P38" i="22" s="1"/>
  <c r="M55" i="22"/>
  <c r="O55" i="22" s="1"/>
  <c r="M38" i="22"/>
  <c r="O38" i="22" s="1"/>
  <c r="AL256" i="32"/>
  <c r="AL255" i="32"/>
  <c r="AI254" i="32"/>
  <c r="AN254" i="32" s="1"/>
  <c r="V257" i="32"/>
  <c r="V258" i="32" s="1"/>
  <c r="M34" i="22"/>
  <c r="O34" i="22" s="1"/>
  <c r="M4" i="22"/>
  <c r="O4" i="22" s="1"/>
  <c r="N45" i="22"/>
  <c r="P45" i="22" s="1"/>
  <c r="N123" i="22"/>
  <c r="P123" i="22" s="1"/>
  <c r="N124" i="22"/>
  <c r="P124" i="22" s="1"/>
  <c r="M123" i="22"/>
  <c r="M116" i="22"/>
  <c r="O116" i="22" s="1"/>
  <c r="M115" i="22"/>
  <c r="N115" i="22"/>
  <c r="P115" i="22" s="1"/>
  <c r="N116" i="22"/>
  <c r="M124" i="22"/>
  <c r="N119" i="22"/>
  <c r="P119" i="22" s="1"/>
  <c r="M119" i="22"/>
  <c r="M135" i="22"/>
  <c r="N132" i="22"/>
  <c r="P132" i="22" s="1"/>
  <c r="M138" i="22"/>
  <c r="N138" i="22"/>
  <c r="M136" i="22"/>
  <c r="N139" i="22"/>
  <c r="N129" i="22"/>
  <c r="M139" i="22"/>
  <c r="M140" i="22"/>
  <c r="M133" i="22"/>
  <c r="O133" i="22" s="1"/>
  <c r="AY103" i="22" s="1"/>
  <c r="M137" i="22"/>
  <c r="N137" i="22"/>
  <c r="N140" i="22"/>
  <c r="M129" i="22"/>
  <c r="O129" i="22" s="1"/>
  <c r="N135" i="22"/>
  <c r="N133" i="22"/>
  <c r="M132" i="22"/>
  <c r="N136" i="22"/>
  <c r="N131" i="22"/>
  <c r="P131" i="22" s="1"/>
  <c r="AZ147" i="22" s="1"/>
  <c r="M131" i="22"/>
  <c r="M88" i="22"/>
  <c r="O88" i="22" s="1"/>
  <c r="M97" i="22"/>
  <c r="O97" i="22" s="1"/>
  <c r="N95" i="22"/>
  <c r="P95" i="22" s="1"/>
  <c r="N51" i="22"/>
  <c r="P51" i="22" s="1"/>
  <c r="M72" i="22"/>
  <c r="O72" i="22" s="1"/>
  <c r="M128" i="22"/>
  <c r="O128" i="22" s="1"/>
  <c r="N9" i="22"/>
  <c r="P9" i="22" s="1"/>
  <c r="N21" i="22"/>
  <c r="P21" i="22" s="1"/>
  <c r="N52" i="22"/>
  <c r="P52" i="22" s="1"/>
  <c r="N111" i="22"/>
  <c r="P111" i="22" s="1"/>
  <c r="N14" i="22"/>
  <c r="P14" i="22" s="1"/>
  <c r="N37" i="22"/>
  <c r="P37" i="22" s="1"/>
  <c r="N68" i="22"/>
  <c r="P68" i="22" s="1"/>
  <c r="N107" i="22"/>
  <c r="P107" i="22" s="1"/>
  <c r="N56" i="22"/>
  <c r="P56" i="22" s="1"/>
  <c r="M86" i="22"/>
  <c r="O86" i="22" s="1"/>
  <c r="M71" i="22"/>
  <c r="O71" i="22" s="1"/>
  <c r="N69" i="22"/>
  <c r="P69" i="22" s="1"/>
  <c r="M62" i="22"/>
  <c r="O62" i="22" s="1"/>
  <c r="M31" i="22"/>
  <c r="O31" i="22" s="1"/>
  <c r="M74" i="22"/>
  <c r="O74" i="22" s="1"/>
  <c r="M75" i="22"/>
  <c r="O75" i="22" s="1"/>
  <c r="N30" i="22"/>
  <c r="P30" i="22" s="1"/>
  <c r="N91" i="22"/>
  <c r="P91" i="22" s="1"/>
  <c r="M85" i="22"/>
  <c r="O85" i="22" s="1"/>
  <c r="N59" i="22"/>
  <c r="P59" i="22" s="1"/>
  <c r="M113" i="22"/>
  <c r="M122" i="22"/>
  <c r="N121" i="22"/>
  <c r="P121" i="22" s="1"/>
  <c r="N109" i="22"/>
  <c r="M12" i="22"/>
  <c r="O12" i="22" s="1"/>
  <c r="N34" i="22"/>
  <c r="P34" i="22" s="1"/>
  <c r="M81" i="22"/>
  <c r="O81" i="22" s="1"/>
  <c r="N96" i="22"/>
  <c r="P96" i="22" s="1"/>
  <c r="N25" i="22"/>
  <c r="P25" i="22" s="1"/>
  <c r="M91" i="22"/>
  <c r="O91" i="22" s="1"/>
  <c r="N83" i="22"/>
  <c r="M87" i="22"/>
  <c r="O87" i="22" s="1"/>
  <c r="M47" i="22"/>
  <c r="O47" i="22" s="1"/>
  <c r="N46" i="22"/>
  <c r="P46" i="22" s="1"/>
  <c r="N36" i="22"/>
  <c r="P36" i="22" s="1"/>
  <c r="M104" i="22"/>
  <c r="N106" i="22"/>
  <c r="P106" i="22" s="1"/>
  <c r="M110" i="22"/>
  <c r="N12" i="22"/>
  <c r="P12" i="22" s="1"/>
  <c r="M19" i="22"/>
  <c r="O19" i="22" s="1"/>
  <c r="M10" i="22"/>
  <c r="O10" i="22" s="1"/>
  <c r="N90" i="22"/>
  <c r="P90" i="22" s="1"/>
  <c r="M23" i="22"/>
  <c r="O23" i="22" s="1"/>
  <c r="N81" i="22"/>
  <c r="P81" i="22" s="1"/>
  <c r="N10" i="22"/>
  <c r="P10" i="22" s="1"/>
  <c r="M30" i="22"/>
  <c r="O30" i="22" s="1"/>
  <c r="M92" i="22"/>
  <c r="O92" i="22" s="1"/>
  <c r="M25" i="22"/>
  <c r="O25" i="22" s="1"/>
  <c r="M89" i="22"/>
  <c r="O89" i="22" s="1"/>
  <c r="N103" i="22"/>
  <c r="P103" i="22" s="1"/>
  <c r="M127" i="22"/>
  <c r="O127" i="22" s="1"/>
  <c r="N43" i="22"/>
  <c r="P43" i="22" s="1"/>
  <c r="M79" i="22"/>
  <c r="O79" i="22" s="1"/>
  <c r="M98" i="22"/>
  <c r="O98" i="22" s="1"/>
  <c r="N102" i="22"/>
  <c r="P102" i="22" s="1"/>
  <c r="M66" i="22"/>
  <c r="O66" i="22" s="1"/>
  <c r="M53" i="22"/>
  <c r="O53" i="22" s="1"/>
  <c r="N32" i="22"/>
  <c r="P32" i="22" s="1"/>
  <c r="M95" i="22"/>
  <c r="O95" i="22" s="1"/>
  <c r="M45" i="22"/>
  <c r="O45" i="22" s="1"/>
  <c r="M17" i="22"/>
  <c r="O17" i="22" s="1"/>
  <c r="N101" i="22"/>
  <c r="P101" i="22" s="1"/>
  <c r="N87" i="22"/>
  <c r="P87" i="22" s="1"/>
  <c r="M76" i="22"/>
  <c r="O76" i="22" s="1"/>
  <c r="N58" i="22"/>
  <c r="P58" i="22" s="1"/>
  <c r="N65" i="22"/>
  <c r="P65" i="22" s="1"/>
  <c r="M43" i="22"/>
  <c r="O43" i="22" s="1"/>
  <c r="N62" i="22"/>
  <c r="P62" i="22" s="1"/>
  <c r="N64" i="22"/>
  <c r="P64" i="22" s="1"/>
  <c r="M39" i="22"/>
  <c r="O39" i="22" s="1"/>
  <c r="N86" i="22"/>
  <c r="P86" i="22" s="1"/>
  <c r="M33" i="22"/>
  <c r="O33" i="22" s="1"/>
  <c r="M63" i="22"/>
  <c r="O63" i="22" s="1"/>
  <c r="AY150" i="22" s="1"/>
  <c r="N127" i="22"/>
  <c r="P127" i="22" s="1"/>
  <c r="M121" i="22"/>
  <c r="N125" i="22"/>
  <c r="P125" i="22" s="1"/>
  <c r="AZ143" i="22" s="1"/>
  <c r="M105" i="22"/>
  <c r="N118" i="22"/>
  <c r="N110" i="22"/>
  <c r="P110" i="22" s="1"/>
  <c r="AZ65" i="22" s="1"/>
  <c r="N108" i="22"/>
  <c r="P108" i="22" s="1"/>
  <c r="M32" i="22"/>
  <c r="O32" i="22" s="1"/>
  <c r="M82" i="22"/>
  <c r="O82" i="22" s="1"/>
  <c r="M99" i="22"/>
  <c r="O99" i="22" s="1"/>
  <c r="N79" i="22"/>
  <c r="P79" i="22" s="1"/>
  <c r="N60" i="22"/>
  <c r="P60" i="22" s="1"/>
  <c r="N74" i="22"/>
  <c r="P74" i="22" s="1"/>
  <c r="N40" i="22"/>
  <c r="P40" i="22" s="1"/>
  <c r="N76" i="22"/>
  <c r="P76" i="22" s="1"/>
  <c r="M51" i="22"/>
  <c r="O51" i="22" s="1"/>
  <c r="N53" i="22"/>
  <c r="P53" i="22" s="1"/>
  <c r="M57" i="22"/>
  <c r="O57" i="22" s="1"/>
  <c r="M52" i="22"/>
  <c r="O52" i="22" s="1"/>
  <c r="N99" i="22"/>
  <c r="P99" i="22" s="1"/>
  <c r="N50" i="22"/>
  <c r="P50" i="22" s="1"/>
  <c r="M16" i="22"/>
  <c r="O16" i="22" s="1"/>
  <c r="M9" i="22"/>
  <c r="O9" i="22" s="1"/>
  <c r="N19" i="22"/>
  <c r="P19" i="22" s="1"/>
  <c r="N71" i="22"/>
  <c r="P71" i="22" s="1"/>
  <c r="N57" i="22"/>
  <c r="P57" i="22" s="1"/>
  <c r="M24" i="22"/>
  <c r="O24" i="22" s="1"/>
  <c r="M27" i="22"/>
  <c r="O27" i="22" s="1"/>
  <c r="N22" i="22"/>
  <c r="P22" i="22" s="1"/>
  <c r="M120" i="22"/>
  <c r="O120" i="22" s="1"/>
  <c r="AY70" i="22" s="1"/>
  <c r="M117" i="22"/>
  <c r="M114" i="22"/>
  <c r="N117" i="22"/>
  <c r="N72" i="22"/>
  <c r="P72" i="22" s="1"/>
  <c r="N39" i="22"/>
  <c r="P39" i="22" s="1"/>
  <c r="M18" i="22"/>
  <c r="O18" i="22" s="1"/>
  <c r="M54" i="22"/>
  <c r="O54" i="22" s="1"/>
  <c r="N11" i="22"/>
  <c r="P11" i="22" s="1"/>
  <c r="M40" i="22"/>
  <c r="O40" i="22" s="1"/>
  <c r="M69" i="22"/>
  <c r="O69" i="22" s="1"/>
  <c r="N35" i="22"/>
  <c r="P35" i="22" s="1"/>
  <c r="M58" i="22"/>
  <c r="O58" i="22" s="1"/>
  <c r="M26" i="22"/>
  <c r="O26" i="22" s="1"/>
  <c r="N66" i="22"/>
  <c r="P66" i="22" s="1"/>
  <c r="N61" i="22"/>
  <c r="P61" i="22" s="1"/>
  <c r="M49" i="22"/>
  <c r="O49" i="22" s="1"/>
  <c r="M78" i="22"/>
  <c r="O78" i="22" s="1"/>
  <c r="M7" i="22"/>
  <c r="O7" i="22" s="1"/>
  <c r="M102" i="22"/>
  <c r="O102" i="22" s="1"/>
  <c r="M70" i="22"/>
  <c r="O70" i="22" s="1"/>
  <c r="N31" i="22"/>
  <c r="P31" i="22" s="1"/>
  <c r="N16" i="22"/>
  <c r="P16" i="22" s="1"/>
  <c r="N94" i="22"/>
  <c r="P94" i="22" s="1"/>
  <c r="N48" i="22"/>
  <c r="P48" i="22" s="1"/>
  <c r="M93" i="22"/>
  <c r="O93" i="22" s="1"/>
  <c r="N41" i="22"/>
  <c r="P41" i="22" s="1"/>
  <c r="M94" i="22"/>
  <c r="O94" i="22" s="1"/>
  <c r="N97" i="22"/>
  <c r="P97" i="22" s="1"/>
  <c r="N54" i="22"/>
  <c r="P54" i="22" s="1"/>
  <c r="N100" i="22"/>
  <c r="P100" i="22" s="1"/>
  <c r="N93" i="22"/>
  <c r="P93" i="22" s="1"/>
  <c r="M48" i="22"/>
  <c r="O48" i="22" s="1"/>
  <c r="M67" i="22"/>
  <c r="O67" i="22" s="1"/>
  <c r="N77" i="22"/>
  <c r="P77" i="22" s="1"/>
  <c r="N18" i="22"/>
  <c r="P18" i="22" s="1"/>
  <c r="M90" i="22"/>
  <c r="O90" i="22" s="1"/>
  <c r="N78" i="22"/>
  <c r="P78" i="22" s="1"/>
  <c r="M21" i="22"/>
  <c r="O21" i="22" s="1"/>
  <c r="N92" i="22"/>
  <c r="P92" i="22" s="1"/>
  <c r="N67" i="22"/>
  <c r="P67" i="22" s="1"/>
  <c r="M50" i="22"/>
  <c r="O50" i="22" s="1"/>
  <c r="M73" i="22"/>
  <c r="O73" i="22" s="1"/>
  <c r="N6" i="22"/>
  <c r="P6" i="22" s="1"/>
  <c r="M96" i="22"/>
  <c r="O96" i="22" s="1"/>
  <c r="N4" i="22"/>
  <c r="P4" i="22" s="1"/>
  <c r="N28" i="22"/>
  <c r="P28" i="22" s="1"/>
  <c r="N17" i="22"/>
  <c r="P17" i="22" s="1"/>
  <c r="M5" i="22"/>
  <c r="O5" i="22" s="1"/>
  <c r="N44" i="22"/>
  <c r="P44" i="22" s="1"/>
  <c r="N8" i="22"/>
  <c r="P8" i="22" s="1"/>
  <c r="M83" i="22"/>
  <c r="N20" i="22"/>
  <c r="P20" i="22" s="1"/>
  <c r="N23" i="22"/>
  <c r="P23" i="22" s="1"/>
  <c r="M111" i="22"/>
  <c r="N128" i="22"/>
  <c r="P128" i="22" s="1"/>
  <c r="M109" i="22"/>
  <c r="O109" i="22" s="1"/>
  <c r="M112" i="22"/>
  <c r="M107" i="22"/>
  <c r="N120" i="22"/>
  <c r="M118" i="22"/>
  <c r="N113" i="22"/>
  <c r="P113" i="22" s="1"/>
  <c r="N122" i="22"/>
  <c r="P122" i="22" s="1"/>
  <c r="M130" i="22"/>
  <c r="O130" i="22" s="1"/>
  <c r="AY72" i="22" s="1"/>
  <c r="N105" i="22"/>
  <c r="N7" i="22"/>
  <c r="P7" i="22" s="1"/>
  <c r="M64" i="22"/>
  <c r="O64" i="22" s="1"/>
  <c r="M29" i="22"/>
  <c r="O29" i="22" s="1"/>
  <c r="M60" i="22"/>
  <c r="O60" i="22" s="1"/>
  <c r="M46" i="22"/>
  <c r="O46" i="22" s="1"/>
  <c r="M41" i="22"/>
  <c r="O41" i="22" s="1"/>
  <c r="M8" i="22"/>
  <c r="O8" i="22" s="1"/>
  <c r="N98" i="22"/>
  <c r="P98" i="22" s="1"/>
  <c r="M14" i="22"/>
  <c r="O14" i="22" s="1"/>
  <c r="M6" i="22"/>
  <c r="O6" i="22" s="1"/>
  <c r="N84" i="22"/>
  <c r="P84" i="22" s="1"/>
  <c r="N5" i="22"/>
  <c r="P5" i="22" s="1"/>
  <c r="N29" i="22"/>
  <c r="P29" i="22" s="1"/>
  <c r="M35" i="22"/>
  <c r="O35" i="22" s="1"/>
  <c r="M68" i="22"/>
  <c r="O68" i="22" s="1"/>
  <c r="N49" i="22"/>
  <c r="P49" i="22" s="1"/>
  <c r="M44" i="22"/>
  <c r="O44" i="22" s="1"/>
  <c r="N47" i="22"/>
  <c r="P47" i="22" s="1"/>
  <c r="M13" i="22"/>
  <c r="O13" i="22" s="1"/>
  <c r="M36" i="22"/>
  <c r="O36" i="22" s="1"/>
  <c r="N88" i="22"/>
  <c r="P88" i="22" s="1"/>
  <c r="M42" i="22"/>
  <c r="O42" i="22" s="1"/>
  <c r="M61" i="22"/>
  <c r="O61" i="22" s="1"/>
  <c r="M59" i="22"/>
  <c r="O59" i="22" s="1"/>
  <c r="M84" i="22"/>
  <c r="O84" i="22" s="1"/>
  <c r="M11" i="22"/>
  <c r="O11" i="22" s="1"/>
  <c r="N26" i="22"/>
  <c r="P26" i="22" s="1"/>
  <c r="N42" i="22"/>
  <c r="P42" i="22" s="1"/>
  <c r="M22" i="22"/>
  <c r="O22" i="22" s="1"/>
  <c r="M28" i="22"/>
  <c r="O28" i="22" s="1"/>
  <c r="N13" i="22"/>
  <c r="P13" i="22" s="1"/>
  <c r="M56" i="22"/>
  <c r="O56" i="22" s="1"/>
  <c r="N82" i="22"/>
  <c r="P82" i="22" s="1"/>
  <c r="N85" i="22"/>
  <c r="P85" i="22" s="1"/>
  <c r="N27" i="22"/>
  <c r="P27" i="22" s="1"/>
  <c r="N63" i="22"/>
  <c r="P63" i="22" s="1"/>
  <c r="AZ150" i="22" s="1"/>
  <c r="M101" i="22"/>
  <c r="O101" i="22" s="1"/>
  <c r="M37" i="22"/>
  <c r="O37" i="22" s="1"/>
  <c r="M77" i="22"/>
  <c r="O77" i="22" s="1"/>
  <c r="M15" i="22"/>
  <c r="O15" i="22" s="1"/>
  <c r="N73" i="22"/>
  <c r="P73" i="22" s="1"/>
  <c r="N75" i="22"/>
  <c r="P75" i="22" s="1"/>
  <c r="M20" i="22"/>
  <c r="O20" i="22" s="1"/>
  <c r="N89" i="22"/>
  <c r="P89" i="22" s="1"/>
  <c r="M65" i="22"/>
  <c r="O65" i="22" s="1"/>
  <c r="N33" i="22"/>
  <c r="P33" i="22" s="1"/>
  <c r="M100" i="22"/>
  <c r="O100" i="22" s="1"/>
  <c r="N70" i="22"/>
  <c r="P70" i="22" s="1"/>
  <c r="M126" i="22"/>
  <c r="M103" i="22"/>
  <c r="O103" i="22" s="1"/>
  <c r="N112" i="22"/>
  <c r="N130" i="22"/>
  <c r="M125" i="22"/>
  <c r="N126" i="22"/>
  <c r="P126" i="22" s="1"/>
  <c r="E68" i="36"/>
  <c r="G68" i="36" s="1"/>
  <c r="F68" i="36"/>
  <c r="H68" i="36" s="1"/>
  <c r="M108" i="22"/>
  <c r="N104" i="22"/>
  <c r="P104" i="22" s="1"/>
  <c r="M106" i="22"/>
  <c r="N114" i="22"/>
  <c r="P114" i="22" s="1"/>
  <c r="E69" i="36"/>
  <c r="G69" i="36" s="1"/>
  <c r="E67" i="36"/>
  <c r="G67" i="36" s="1"/>
  <c r="F67" i="36"/>
  <c r="H67" i="36" s="1"/>
  <c r="F69" i="36"/>
  <c r="H69" i="36" s="1"/>
  <c r="N15" i="22"/>
  <c r="P15" i="22" s="1"/>
  <c r="AQ159" i="59" a="1"/>
  <c r="AQ159" i="59" s="1"/>
  <c r="AM144" i="11" a="1"/>
  <c r="AM144" i="11" s="1"/>
  <c r="AY105" i="22" l="1"/>
  <c r="AZ105" i="22"/>
  <c r="R134" i="22"/>
  <c r="AN18" i="22"/>
  <c r="F52" i="36" s="1"/>
  <c r="Q134" i="22"/>
  <c r="AM18" i="22"/>
  <c r="E52" i="36" s="1"/>
  <c r="V259" i="32"/>
  <c r="Q55" i="22"/>
  <c r="AY151" i="22"/>
  <c r="Q80" i="22"/>
  <c r="AY134" i="22"/>
  <c r="R55" i="22"/>
  <c r="AZ151" i="22"/>
  <c r="R80" i="22"/>
  <c r="AZ134" i="22"/>
  <c r="Q38" i="22"/>
  <c r="AY104" i="22"/>
  <c r="R38" i="22"/>
  <c r="AZ104" i="22"/>
  <c r="AL257" i="32"/>
  <c r="AM5" i="22"/>
  <c r="AI256" i="32"/>
  <c r="AN256" i="32" s="1"/>
  <c r="AZ146" i="22"/>
  <c r="AZ148" i="22"/>
  <c r="AZ140" i="22"/>
  <c r="AZ71" i="22"/>
  <c r="AZ144" i="22"/>
  <c r="AZ66" i="22"/>
  <c r="AZ142" i="22"/>
  <c r="AZ63" i="22"/>
  <c r="AZ69" i="22"/>
  <c r="AZ141" i="22"/>
  <c r="AZ64" i="22"/>
  <c r="AZ62" i="22"/>
  <c r="AZ145" i="22"/>
  <c r="AZ67" i="22"/>
  <c r="AZ68" i="22"/>
  <c r="AY61" i="22"/>
  <c r="AZ61" i="22"/>
  <c r="AZ126" i="22"/>
  <c r="AY126" i="22"/>
  <c r="AI255" i="32"/>
  <c r="AN255" i="32" s="1"/>
  <c r="AY146" i="22"/>
  <c r="AY145" i="22"/>
  <c r="AY102" i="22"/>
  <c r="AY139" i="22"/>
  <c r="P140" i="22"/>
  <c r="R140" i="22" s="1"/>
  <c r="AF140" i="22" s="1"/>
  <c r="P116" i="22"/>
  <c r="P112" i="22"/>
  <c r="P105" i="22"/>
  <c r="P133" i="22"/>
  <c r="AZ103" i="22" s="1"/>
  <c r="P137" i="22"/>
  <c r="R137" i="22" s="1"/>
  <c r="AF137" i="22" s="1"/>
  <c r="P138" i="22"/>
  <c r="R138" i="22" s="1"/>
  <c r="AF138" i="22" s="1"/>
  <c r="P120" i="22"/>
  <c r="P109" i="22"/>
  <c r="P135" i="22"/>
  <c r="AN17" i="22" s="1"/>
  <c r="F53" i="36" s="1"/>
  <c r="F92" i="36" s="1"/>
  <c r="P129" i="22"/>
  <c r="P130" i="22"/>
  <c r="P117" i="22"/>
  <c r="AZ73" i="22" s="1"/>
  <c r="P118" i="22"/>
  <c r="P136" i="22"/>
  <c r="R136" i="22" s="1"/>
  <c r="AF136" i="22" s="1"/>
  <c r="P139" i="22"/>
  <c r="R139" i="22" s="1"/>
  <c r="AF139" i="22" s="1"/>
  <c r="R126" i="22"/>
  <c r="AF126" i="22" s="1"/>
  <c r="R125" i="22"/>
  <c r="R124" i="22"/>
  <c r="AF124" i="22" s="1"/>
  <c r="R128" i="22"/>
  <c r="R131" i="22"/>
  <c r="AF131" i="22" s="1"/>
  <c r="R123" i="22"/>
  <c r="R122" i="22"/>
  <c r="AF122" i="22" s="1"/>
  <c r="R127" i="22"/>
  <c r="R132" i="22"/>
  <c r="AF132" i="22" s="1"/>
  <c r="R113" i="22"/>
  <c r="BB66" i="22" s="1"/>
  <c r="R104" i="22"/>
  <c r="BB62" i="22" s="1"/>
  <c r="R108" i="22"/>
  <c r="BB64" i="22" s="1"/>
  <c r="R115" i="22"/>
  <c r="BB68" i="22" s="1"/>
  <c r="R110" i="22"/>
  <c r="BB65" i="22" s="1"/>
  <c r="R119" i="22"/>
  <c r="BB69" i="22" s="1"/>
  <c r="R114" i="22"/>
  <c r="BB67" i="22" s="1"/>
  <c r="R121" i="22"/>
  <c r="BB71" i="22" s="1"/>
  <c r="R107" i="22"/>
  <c r="AF107" i="22" s="1"/>
  <c r="R111" i="22"/>
  <c r="O106" i="22"/>
  <c r="AY63" i="22" s="1"/>
  <c r="O112" i="22"/>
  <c r="O114" i="22"/>
  <c r="AY67" i="22" s="1"/>
  <c r="O105" i="22"/>
  <c r="AY19" i="22" s="1"/>
  <c r="O110" i="22"/>
  <c r="AY65" i="22" s="1"/>
  <c r="O122" i="22"/>
  <c r="AY140" i="22" s="1"/>
  <c r="O132" i="22"/>
  <c r="AY148" i="22" s="1"/>
  <c r="O140" i="22"/>
  <c r="Q140" i="22" s="1"/>
  <c r="AE140" i="22" s="1"/>
  <c r="O136" i="22"/>
  <c r="Q136" i="22" s="1"/>
  <c r="AE136" i="22" s="1"/>
  <c r="O135" i="22"/>
  <c r="AM17" i="22" s="1"/>
  <c r="E53" i="36" s="1"/>
  <c r="E92" i="36" s="1"/>
  <c r="O123" i="22"/>
  <c r="AY141" i="22" s="1"/>
  <c r="O118" i="22"/>
  <c r="AY24" i="22" s="1"/>
  <c r="O117" i="22"/>
  <c r="O113" i="22"/>
  <c r="AY66" i="22" s="1"/>
  <c r="O131" i="22"/>
  <c r="AY147" i="22" s="1"/>
  <c r="O139" i="22"/>
  <c r="Q139" i="22" s="1"/>
  <c r="AE139" i="22" s="1"/>
  <c r="O119" i="22"/>
  <c r="AY69" i="22" s="1"/>
  <c r="O108" i="22"/>
  <c r="AY64" i="22" s="1"/>
  <c r="O126" i="22"/>
  <c r="AY144" i="22" s="1"/>
  <c r="O121" i="22"/>
  <c r="AY71" i="22" s="1"/>
  <c r="O104" i="22"/>
  <c r="AY62" i="22" s="1"/>
  <c r="O137" i="22"/>
  <c r="Q137" i="22" s="1"/>
  <c r="AE137" i="22" s="1"/>
  <c r="O138" i="22"/>
  <c r="Q138" i="22" s="1"/>
  <c r="AE138" i="22" s="1"/>
  <c r="O115" i="22"/>
  <c r="AY68" i="22" s="1"/>
  <c r="O125" i="22"/>
  <c r="AY143" i="22" s="1"/>
  <c r="O107" i="22"/>
  <c r="O111" i="22"/>
  <c r="AY22" i="22" s="1"/>
  <c r="O124" i="22"/>
  <c r="AY142" i="22" s="1"/>
  <c r="Q116" i="22"/>
  <c r="BA139" i="22" s="1"/>
  <c r="Q130" i="22"/>
  <c r="BA72" i="22" s="1"/>
  <c r="Q129" i="22"/>
  <c r="BA102" i="22" s="1"/>
  <c r="Q133" i="22"/>
  <c r="BA103" i="22" s="1"/>
  <c r="Q120" i="22"/>
  <c r="BA70" i="22" s="1"/>
  <c r="E70" i="36"/>
  <c r="G70" i="36" s="1"/>
  <c r="F70" i="36"/>
  <c r="H70" i="36" s="1"/>
  <c r="Q128" i="22"/>
  <c r="BA146" i="22" s="1"/>
  <c r="Q127" i="22"/>
  <c r="AE127" i="22" s="1"/>
  <c r="Q109" i="22"/>
  <c r="AE109" i="22" s="1"/>
  <c r="AN15" i="22"/>
  <c r="F50" i="36" s="1"/>
  <c r="R106" i="22"/>
  <c r="BB63" i="22" s="1"/>
  <c r="R103" i="22"/>
  <c r="AM15" i="22"/>
  <c r="E50" i="36" s="1"/>
  <c r="Q103" i="22"/>
  <c r="N24" i="22"/>
  <c r="P24" i="22" s="1"/>
  <c r="AQ160" i="59" a="1"/>
  <c r="AQ160" i="59" s="1"/>
  <c r="AM145" i="11" a="1"/>
  <c r="AM145" i="11" s="1"/>
  <c r="Q117" i="22" l="1"/>
  <c r="AY73" i="22"/>
  <c r="AE134" i="22"/>
  <c r="AO18" i="22"/>
  <c r="AF134" i="22"/>
  <c r="AP18" i="22"/>
  <c r="R135" i="22"/>
  <c r="AZ80" i="22"/>
  <c r="Q135" i="22"/>
  <c r="AY80" i="22"/>
  <c r="AF55" i="22"/>
  <c r="BB151" i="22"/>
  <c r="AF80" i="22"/>
  <c r="BB134" i="22"/>
  <c r="D138" i="72" s="1"/>
  <c r="AE80" i="22"/>
  <c r="BA134" i="22"/>
  <c r="AE55" i="22"/>
  <c r="BA151" i="22"/>
  <c r="AF38" i="22"/>
  <c r="BB104" i="22"/>
  <c r="D100" i="72" s="1"/>
  <c r="AE38" i="22"/>
  <c r="BA104" i="22"/>
  <c r="BE67" i="22"/>
  <c r="BE64" i="22"/>
  <c r="BE69" i="22"/>
  <c r="BE62" i="22"/>
  <c r="BE65" i="22"/>
  <c r="BE66" i="22"/>
  <c r="BE63" i="22"/>
  <c r="BE71" i="22"/>
  <c r="BE68" i="22"/>
  <c r="AI257" i="32"/>
  <c r="AZ24" i="22"/>
  <c r="AZ72" i="22"/>
  <c r="AZ20" i="22"/>
  <c r="AZ101" i="22"/>
  <c r="R109" i="22"/>
  <c r="AF109" i="22" s="1"/>
  <c r="AZ70" i="22"/>
  <c r="AF110" i="22"/>
  <c r="AF104" i="22"/>
  <c r="AF114" i="22"/>
  <c r="AY20" i="22"/>
  <c r="AZ22" i="22"/>
  <c r="AY23" i="22"/>
  <c r="AY21" i="22"/>
  <c r="AD2" i="32"/>
  <c r="R130" i="22"/>
  <c r="BB72" i="22" s="1"/>
  <c r="D81" i="72" s="1"/>
  <c r="BB144" i="22"/>
  <c r="R112" i="22"/>
  <c r="BB101" i="22" s="1"/>
  <c r="BB140" i="22"/>
  <c r="D74" i="72"/>
  <c r="BB147" i="22"/>
  <c r="BB148" i="22"/>
  <c r="BA145" i="22"/>
  <c r="D71" i="72"/>
  <c r="BB142" i="22"/>
  <c r="AF111" i="22"/>
  <c r="AF108" i="22"/>
  <c r="AF128" i="22"/>
  <c r="BB146" i="22"/>
  <c r="AZ23" i="22"/>
  <c r="AF115" i="22"/>
  <c r="AF123" i="22"/>
  <c r="BB141" i="22"/>
  <c r="AY101" i="22"/>
  <c r="AF119" i="22"/>
  <c r="AF127" i="22"/>
  <c r="BB145" i="22"/>
  <c r="AF121" i="22"/>
  <c r="AF113" i="22"/>
  <c r="AF125" i="22"/>
  <c r="BB143" i="22"/>
  <c r="AZ102" i="22"/>
  <c r="R129" i="22"/>
  <c r="BB102" i="22" s="1"/>
  <c r="R120" i="22"/>
  <c r="BB70" i="22" s="1"/>
  <c r="AZ19" i="22"/>
  <c r="R105" i="22"/>
  <c r="AF105" i="22" s="1"/>
  <c r="Q104" i="22"/>
  <c r="BA62" i="22" s="1"/>
  <c r="BB21" i="22"/>
  <c r="AZ21" i="22"/>
  <c r="R133" i="22"/>
  <c r="AN13" i="22"/>
  <c r="F48" i="36" s="1"/>
  <c r="AZ139" i="22"/>
  <c r="R116" i="22"/>
  <c r="AF116" i="22" s="1"/>
  <c r="R118" i="22"/>
  <c r="AN12" i="22"/>
  <c r="F47" i="36" s="1"/>
  <c r="AN16" i="22"/>
  <c r="R117" i="22"/>
  <c r="AN14" i="22"/>
  <c r="F49" i="36" s="1"/>
  <c r="Q126" i="22"/>
  <c r="AE126" i="22" s="1"/>
  <c r="Q131" i="22"/>
  <c r="AE131" i="22" s="1"/>
  <c r="Q123" i="22"/>
  <c r="AE123" i="22" s="1"/>
  <c r="Q132" i="22"/>
  <c r="AE132" i="22" s="1"/>
  <c r="Q124" i="22"/>
  <c r="AE124" i="22" s="1"/>
  <c r="Q122" i="22"/>
  <c r="AE122" i="22" s="1"/>
  <c r="Q125" i="22"/>
  <c r="AE125" i="22" s="1"/>
  <c r="Q119" i="22"/>
  <c r="BA69" i="22" s="1"/>
  <c r="Q110" i="22"/>
  <c r="BA65" i="22" s="1"/>
  <c r="Q106" i="22"/>
  <c r="BA63" i="22" s="1"/>
  <c r="Q115" i="22"/>
  <c r="BA68" i="22" s="1"/>
  <c r="Q121" i="22"/>
  <c r="BA71" i="22" s="1"/>
  <c r="Q108" i="22"/>
  <c r="BA64" i="22" s="1"/>
  <c r="Q114" i="22"/>
  <c r="BA67" i="22" s="1"/>
  <c r="Q113" i="22"/>
  <c r="BA66" i="22" s="1"/>
  <c r="Q111" i="22"/>
  <c r="AE111" i="22" s="1"/>
  <c r="Q105" i="22"/>
  <c r="AE105" i="22" s="1"/>
  <c r="Q107" i="22"/>
  <c r="AE107" i="22" s="1"/>
  <c r="Q118" i="22"/>
  <c r="AM16" i="22"/>
  <c r="Q112" i="22"/>
  <c r="BA101" i="22" s="1"/>
  <c r="AM13" i="22"/>
  <c r="E48" i="36" s="1"/>
  <c r="AM14" i="22"/>
  <c r="E49" i="36" s="1"/>
  <c r="AM12" i="22"/>
  <c r="E47" i="36" s="1"/>
  <c r="AE116" i="22"/>
  <c r="AE129" i="22"/>
  <c r="AE133" i="22"/>
  <c r="AE130" i="22"/>
  <c r="AE120" i="22"/>
  <c r="AE103" i="22"/>
  <c r="AP15" i="22"/>
  <c r="AE128" i="22"/>
  <c r="AF106" i="22"/>
  <c r="AF103" i="22"/>
  <c r="AO15" i="22"/>
  <c r="D72" i="72"/>
  <c r="AQ161" i="59" a="1"/>
  <c r="AQ161" i="59" s="1"/>
  <c r="AM146" i="11" a="1"/>
  <c r="AM146" i="11" s="1"/>
  <c r="AF117" i="22" l="1"/>
  <c r="BB73" i="22"/>
  <c r="AE117" i="22"/>
  <c r="BA73" i="22"/>
  <c r="G53" i="36"/>
  <c r="G92" i="36" s="1"/>
  <c r="H53" i="36"/>
  <c r="H92" i="36" s="1"/>
  <c r="AN257" i="32"/>
  <c r="AN258" i="32" s="1"/>
  <c r="H12" i="73" s="1"/>
  <c r="BE151" i="22"/>
  <c r="D136" i="72"/>
  <c r="BE134" i="22"/>
  <c r="F138" i="72" s="1"/>
  <c r="AF135" i="22"/>
  <c r="BB80" i="22"/>
  <c r="AE135" i="22"/>
  <c r="BA80" i="22"/>
  <c r="BE104" i="22"/>
  <c r="F100" i="72" s="1"/>
  <c r="E51" i="36"/>
  <c r="F51" i="36"/>
  <c r="D161" i="72"/>
  <c r="D158" i="72"/>
  <c r="D154" i="72"/>
  <c r="D159" i="72"/>
  <c r="D155" i="72"/>
  <c r="D160" i="72"/>
  <c r="D157" i="72"/>
  <c r="BF71" i="22"/>
  <c r="G80" i="72" s="1"/>
  <c r="BF66" i="22"/>
  <c r="G75" i="72" s="1"/>
  <c r="BF62" i="22"/>
  <c r="G71" i="72" s="1"/>
  <c r="BF64" i="22"/>
  <c r="G73" i="72" s="1"/>
  <c r="BE70" i="22"/>
  <c r="D153" i="72"/>
  <c r="BF68" i="22"/>
  <c r="G77" i="72" s="1"/>
  <c r="BF63" i="22"/>
  <c r="G72" i="72" s="1"/>
  <c r="BF65" i="22"/>
  <c r="BF69" i="22"/>
  <c r="BF67" i="22"/>
  <c r="BB22" i="22"/>
  <c r="BE143" i="22"/>
  <c r="D156" i="72"/>
  <c r="BE145" i="22"/>
  <c r="BE146" i="22"/>
  <c r="BE148" i="22"/>
  <c r="BE141" i="22"/>
  <c r="BE142" i="22"/>
  <c r="BE144" i="22"/>
  <c r="BE72" i="22"/>
  <c r="AE119" i="22"/>
  <c r="AE113" i="22"/>
  <c r="AE108" i="22"/>
  <c r="AE104" i="22"/>
  <c r="AE114" i="22"/>
  <c r="AE121" i="22"/>
  <c r="AE115" i="22"/>
  <c r="D76" i="72"/>
  <c r="AE110" i="22"/>
  <c r="AE106" i="22"/>
  <c r="AE118" i="22"/>
  <c r="BA24" i="22"/>
  <c r="BB23" i="22"/>
  <c r="BB24" i="22"/>
  <c r="BA21" i="22"/>
  <c r="BB20" i="22"/>
  <c r="AF130" i="22"/>
  <c r="AF133" i="22"/>
  <c r="BB103" i="22"/>
  <c r="BE21" i="22"/>
  <c r="D29" i="72"/>
  <c r="AF112" i="22"/>
  <c r="F78" i="72"/>
  <c r="D78" i="72"/>
  <c r="BE101" i="22"/>
  <c r="D113" i="72"/>
  <c r="BE102" i="22"/>
  <c r="D114" i="72"/>
  <c r="D79" i="72"/>
  <c r="BE140" i="22"/>
  <c r="F74" i="72"/>
  <c r="D75" i="72"/>
  <c r="AF118" i="22"/>
  <c r="BE147" i="22"/>
  <c r="D80" i="72"/>
  <c r="F76" i="72"/>
  <c r="BA140" i="22"/>
  <c r="D77" i="72"/>
  <c r="AP13" i="22"/>
  <c r="BA148" i="22"/>
  <c r="BA23" i="22"/>
  <c r="BA147" i="22"/>
  <c r="BA143" i="22"/>
  <c r="BA142" i="22"/>
  <c r="BA141" i="22"/>
  <c r="BA144" i="22"/>
  <c r="BB139" i="22"/>
  <c r="AP12" i="22"/>
  <c r="AP16" i="22"/>
  <c r="D73" i="72"/>
  <c r="AP14" i="22"/>
  <c r="AF129" i="22"/>
  <c r="AF120" i="22"/>
  <c r="BA20" i="22"/>
  <c r="BA22" i="22"/>
  <c r="AO16" i="22"/>
  <c r="AO13" i="22"/>
  <c r="AE112" i="22"/>
  <c r="AO14" i="22"/>
  <c r="AO12" i="22"/>
  <c r="F77" i="72"/>
  <c r="F72" i="72"/>
  <c r="F75" i="72"/>
  <c r="F73" i="72"/>
  <c r="F80" i="72"/>
  <c r="AQ162" i="59" a="1"/>
  <c r="AQ162" i="59" s="1"/>
  <c r="AM147" i="11" a="1"/>
  <c r="AM147" i="11" s="1"/>
  <c r="BE73" i="22" l="1"/>
  <c r="D82" i="72"/>
  <c r="BF151" i="22"/>
  <c r="F136" i="72"/>
  <c r="BF134" i="22"/>
  <c r="BE80" i="22"/>
  <c r="D109" i="72"/>
  <c r="F90" i="36"/>
  <c r="BF104" i="22"/>
  <c r="H52" i="36"/>
  <c r="H91" i="36" s="1"/>
  <c r="F91" i="36"/>
  <c r="G52" i="36"/>
  <c r="G91" i="36" s="1"/>
  <c r="E91" i="36"/>
  <c r="D31" i="72"/>
  <c r="F155" i="72"/>
  <c r="F158" i="72"/>
  <c r="BE20" i="22"/>
  <c r="F28" i="72" s="1"/>
  <c r="F154" i="72"/>
  <c r="BF70" i="22"/>
  <c r="G79" i="72" s="1"/>
  <c r="D152" i="72"/>
  <c r="BE103" i="22"/>
  <c r="F161" i="72"/>
  <c r="F156" i="72"/>
  <c r="F160" i="72"/>
  <c r="F153" i="72"/>
  <c r="F157" i="72"/>
  <c r="F159" i="72"/>
  <c r="BE22" i="22"/>
  <c r="F30" i="72" s="1"/>
  <c r="D30" i="72"/>
  <c r="BF143" i="22"/>
  <c r="BF148" i="22"/>
  <c r="BF145" i="22"/>
  <c r="BF142" i="22"/>
  <c r="BF141" i="22"/>
  <c r="BF144" i="22"/>
  <c r="BF146" i="22"/>
  <c r="BF140" i="22"/>
  <c r="BF72" i="22"/>
  <c r="F81" i="72"/>
  <c r="BE24" i="22"/>
  <c r="D32" i="72"/>
  <c r="BE23" i="22"/>
  <c r="D28" i="72"/>
  <c r="D115" i="72"/>
  <c r="BF21" i="22"/>
  <c r="F29" i="72"/>
  <c r="G78" i="72"/>
  <c r="BF102" i="22"/>
  <c r="F114" i="72"/>
  <c r="BE139" i="22"/>
  <c r="F79" i="72"/>
  <c r="BF101" i="22"/>
  <c r="F113" i="72"/>
  <c r="G74" i="72"/>
  <c r="G51" i="36"/>
  <c r="BF147" i="22"/>
  <c r="G76" i="72"/>
  <c r="H51" i="36"/>
  <c r="F71" i="72"/>
  <c r="AQ163" i="59" a="1"/>
  <c r="AQ163" i="59" s="1"/>
  <c r="AM148" i="11" a="1"/>
  <c r="AM148" i="11" s="1"/>
  <c r="BF73" i="22" l="1"/>
  <c r="G82" i="72" s="1"/>
  <c r="F82" i="72"/>
  <c r="BF80" i="22"/>
  <c r="F109" i="72"/>
  <c r="BF20" i="22"/>
  <c r="G28" i="72" s="1"/>
  <c r="F115" i="72"/>
  <c r="G113" i="72" s="1"/>
  <c r="BF22" i="22"/>
  <c r="BF103" i="22"/>
  <c r="G29" i="72"/>
  <c r="F152" i="72"/>
  <c r="BF23" i="22"/>
  <c r="G81" i="72"/>
  <c r="BF24" i="22"/>
  <c r="F32" i="72"/>
  <c r="F31" i="72"/>
  <c r="BF139" i="22"/>
  <c r="E90" i="36"/>
  <c r="H90" i="36"/>
  <c r="G90" i="36"/>
  <c r="AQ164" i="59" a="1"/>
  <c r="AQ164" i="59" s="1"/>
  <c r="AM149" i="11" a="1"/>
  <c r="AM149" i="11" s="1"/>
  <c r="G30" i="72" l="1"/>
  <c r="G32" i="72"/>
  <c r="G31" i="72"/>
  <c r="AQ165" i="59" a="1"/>
  <c r="AQ165" i="59" s="1"/>
  <c r="AM150" i="11" a="1"/>
  <c r="AM150" i="11" s="1"/>
  <c r="AQ166" i="59" l="1" a="1"/>
  <c r="AQ166" i="59" s="1"/>
  <c r="AM151" i="11" a="1"/>
  <c r="AM151" i="11" s="1"/>
  <c r="AQ167" i="59" l="1" a="1"/>
  <c r="AQ167" i="59" s="1"/>
  <c r="AM152" i="11" a="1"/>
  <c r="AM152" i="11" s="1"/>
  <c r="AQ168" i="59" l="1" a="1"/>
  <c r="AQ168" i="59" s="1"/>
  <c r="AM153" i="11" a="1"/>
  <c r="AM153" i="11" s="1"/>
  <c r="AQ169" i="59" l="1" a="1"/>
  <c r="AQ169" i="59" s="1"/>
  <c r="AM154" i="11" a="1"/>
  <c r="AM154" i="11" s="1"/>
  <c r="AQ170" i="59" l="1" a="1"/>
  <c r="AQ170" i="59" s="1"/>
  <c r="AM155" i="11" a="1"/>
  <c r="AM155" i="11" s="1"/>
  <c r="AQ171" i="59" l="1" a="1"/>
  <c r="AQ171" i="59" s="1"/>
  <c r="AM156" i="11" a="1"/>
  <c r="AM156" i="11" s="1"/>
  <c r="AQ172" i="59" l="1" a="1"/>
  <c r="AQ172" i="59" s="1"/>
  <c r="AM157" i="11" a="1"/>
  <c r="AM157" i="11" s="1"/>
  <c r="AQ173" i="59" l="1" a="1"/>
  <c r="AQ173" i="59" s="1"/>
  <c r="AM158" i="11" a="1"/>
  <c r="AM158" i="11" s="1"/>
  <c r="AQ174" i="59" l="1" a="1"/>
  <c r="AQ174" i="59" s="1"/>
  <c r="AM159" i="11" a="1"/>
  <c r="AM159" i="11" s="1"/>
  <c r="AQ175" i="59" l="1" a="1"/>
  <c r="AQ175" i="59" s="1"/>
  <c r="AM160" i="11" a="1"/>
  <c r="AM160" i="11" s="1"/>
  <c r="AQ176" i="59" l="1" a="1"/>
  <c r="AQ176" i="59" s="1"/>
  <c r="AM161" i="11" a="1"/>
  <c r="AM161" i="11" s="1"/>
  <c r="AQ177" i="59" l="1" a="1"/>
  <c r="AQ177" i="59" s="1"/>
  <c r="AM162" i="11" a="1"/>
  <c r="AM162" i="11" s="1"/>
  <c r="AQ178" i="59" l="1" a="1"/>
  <c r="AQ178" i="59" s="1"/>
  <c r="AM163" i="11" a="1"/>
  <c r="AM163" i="11" s="1"/>
  <c r="AQ179" i="59" l="1" a="1"/>
  <c r="AQ179" i="59" s="1"/>
  <c r="AM164" i="11" a="1"/>
  <c r="AM164" i="11" s="1"/>
  <c r="AQ180" i="59" l="1" a="1"/>
  <c r="AQ180" i="59" s="1"/>
  <c r="AM165" i="11" a="1"/>
  <c r="AM165" i="11" s="1"/>
  <c r="AQ181" i="59" l="1" a="1"/>
  <c r="AQ181" i="59" s="1"/>
  <c r="AM166" i="11" a="1"/>
  <c r="AM166" i="11" s="1"/>
  <c r="AQ182" i="59" l="1" a="1"/>
  <c r="AQ182" i="59" s="1"/>
  <c r="AM167" i="11" a="1"/>
  <c r="AM167" i="11" s="1"/>
  <c r="AQ183" i="59" l="1" a="1"/>
  <c r="AQ183" i="59" s="1"/>
  <c r="AM168" i="11" a="1"/>
  <c r="AM168" i="11" s="1"/>
  <c r="AQ184" i="59" l="1" a="1"/>
  <c r="AQ184" i="59" s="1"/>
  <c r="AM169" i="11" a="1"/>
  <c r="AM169" i="11" s="1"/>
  <c r="AQ185" i="59" l="1" a="1"/>
  <c r="AQ185" i="59" s="1"/>
  <c r="AM170" i="11" a="1"/>
  <c r="AM170" i="11" s="1"/>
  <c r="AQ186" i="59" l="1" a="1"/>
  <c r="AQ186" i="59" s="1"/>
  <c r="AM171" i="11" a="1"/>
  <c r="AM171" i="11" s="1"/>
  <c r="AQ187" i="59" l="1" a="1"/>
  <c r="AQ187" i="59" s="1"/>
  <c r="AM172" i="11" a="1"/>
  <c r="AM172" i="11" s="1"/>
  <c r="AQ188" i="59" l="1" a="1"/>
  <c r="AQ188" i="59" s="1"/>
  <c r="AM173" i="11" a="1"/>
  <c r="AM173" i="11" s="1"/>
  <c r="AQ189" i="59" l="1" a="1"/>
  <c r="AQ189" i="59" s="1"/>
  <c r="AM174" i="11" a="1"/>
  <c r="AM174" i="11" s="1"/>
  <c r="AQ190" i="59" l="1" a="1"/>
  <c r="AQ190" i="59" s="1"/>
  <c r="AM175" i="11" a="1"/>
  <c r="AM175" i="11" s="1"/>
  <c r="AQ191" i="59" l="1" a="1"/>
  <c r="AQ191" i="59" s="1"/>
  <c r="AM176" i="11" a="1"/>
  <c r="AM176" i="11" s="1"/>
  <c r="AQ192" i="59" l="1" a="1"/>
  <c r="AQ192" i="59" s="1"/>
  <c r="AM177" i="11" a="1"/>
  <c r="AM177" i="11" s="1"/>
  <c r="AQ193" i="59" l="1" a="1"/>
  <c r="AQ193" i="59" s="1"/>
  <c r="AM178" i="11" a="1"/>
  <c r="AM178" i="11" s="1"/>
  <c r="AQ194" i="59" l="1" a="1"/>
  <c r="AQ194" i="59" s="1"/>
  <c r="AM179" i="11" a="1"/>
  <c r="AM179" i="11" s="1"/>
  <c r="AQ195" i="59" l="1" a="1"/>
  <c r="AQ195" i="59" s="1"/>
  <c r="AM180" i="11" a="1"/>
  <c r="AM180" i="11" s="1"/>
  <c r="AQ196" i="59" l="1" a="1"/>
  <c r="AQ196" i="59" s="1"/>
  <c r="AM181" i="11" a="1"/>
  <c r="AM181" i="11" s="1"/>
  <c r="AQ197" i="59" l="1" a="1"/>
  <c r="AQ197" i="59" s="1"/>
  <c r="AM182" i="11" a="1"/>
  <c r="AM182" i="11" s="1"/>
  <c r="AQ198" i="59" l="1" a="1"/>
  <c r="AQ198" i="59" s="1"/>
  <c r="AM183" i="11" a="1"/>
  <c r="AM183" i="11" s="1"/>
  <c r="AQ199" i="59" l="1" a="1"/>
  <c r="AQ199" i="59" s="1"/>
  <c r="AM184" i="11" a="1"/>
  <c r="AM184" i="11" s="1"/>
  <c r="AQ200" i="59" l="1" a="1"/>
  <c r="AQ200" i="59" s="1"/>
  <c r="AM185" i="11" a="1"/>
  <c r="AM185" i="11" s="1"/>
  <c r="AQ201" i="59" l="1" a="1"/>
  <c r="AQ201" i="59" s="1"/>
  <c r="AM186" i="11" a="1"/>
  <c r="AM186" i="11" s="1"/>
  <c r="AQ202" i="59" l="1" a="1"/>
  <c r="AQ202" i="59" s="1"/>
  <c r="AM187" i="11" a="1"/>
  <c r="AM187" i="11" s="1"/>
  <c r="AQ203" i="59" l="1" a="1"/>
  <c r="AQ203" i="59" s="1"/>
  <c r="AM188" i="11" a="1"/>
  <c r="AM188" i="11" s="1"/>
  <c r="AQ204" i="59" l="1" a="1"/>
  <c r="AQ204" i="59" s="1"/>
  <c r="AM189" i="11" a="1"/>
  <c r="AM189" i="11" s="1"/>
  <c r="AQ205" i="59" l="1" a="1"/>
  <c r="AQ205" i="59" s="1"/>
  <c r="AM190" i="11" a="1"/>
  <c r="AM190" i="11" s="1"/>
  <c r="AQ206" i="59" l="1" a="1"/>
  <c r="AQ206" i="59" s="1"/>
  <c r="AM191" i="11" a="1"/>
  <c r="AM191" i="11" s="1"/>
  <c r="AQ207" i="59" l="1" a="1"/>
  <c r="AQ207" i="59" s="1"/>
  <c r="AM192" i="11" a="1"/>
  <c r="AM192" i="11" s="1"/>
  <c r="AQ208" i="59" l="1" a="1"/>
  <c r="AQ208" i="59" s="1"/>
  <c r="AM193" i="11" a="1"/>
  <c r="AM193" i="11" s="1"/>
  <c r="AQ209" i="59" l="1" a="1"/>
  <c r="AQ209" i="59" s="1"/>
  <c r="AM194" i="11" a="1"/>
  <c r="AM194" i="11" s="1"/>
  <c r="AQ210" i="59" l="1" a="1"/>
  <c r="AQ210" i="59" s="1"/>
  <c r="AM195" i="11" a="1"/>
  <c r="AM195" i="11" s="1"/>
  <c r="AQ211" i="59" l="1" a="1"/>
  <c r="AQ211" i="59" s="1"/>
  <c r="AM196" i="11" a="1"/>
  <c r="AM196" i="11" s="1"/>
  <c r="AQ212" i="59" l="1" a="1"/>
  <c r="AQ212" i="59" s="1"/>
  <c r="AM197" i="11" a="1"/>
  <c r="AM197" i="11" s="1"/>
  <c r="AQ213" i="59" l="1" a="1"/>
  <c r="AQ213" i="59" s="1"/>
  <c r="AM198" i="11" a="1"/>
  <c r="AM198" i="11" s="1"/>
  <c r="AQ214" i="59" l="1" a="1"/>
  <c r="AQ214" i="59" s="1"/>
  <c r="AM199" i="11" a="1"/>
  <c r="AM199" i="11" s="1"/>
  <c r="AQ215" i="59" l="1" a="1"/>
  <c r="AQ215" i="59" s="1"/>
  <c r="AM200" i="11" a="1"/>
  <c r="AM200" i="11" s="1"/>
  <c r="AQ216" i="59" l="1" a="1"/>
  <c r="AQ216" i="59" s="1"/>
  <c r="AM201" i="11" a="1"/>
  <c r="AM201" i="11" s="1"/>
  <c r="AQ217" i="59" l="1" a="1"/>
  <c r="AQ217" i="59" s="1"/>
  <c r="AM202" i="11" a="1"/>
  <c r="AM202" i="11" s="1"/>
  <c r="AQ218" i="59" l="1" a="1"/>
  <c r="AQ218" i="59" s="1"/>
  <c r="AM203" i="11" a="1"/>
  <c r="AM203" i="11" s="1"/>
  <c r="AQ219" i="59" l="1" a="1"/>
  <c r="AQ219" i="59" s="1"/>
  <c r="AM204" i="11" a="1"/>
  <c r="AM204" i="11" s="1"/>
  <c r="AQ220" i="59" l="1" a="1"/>
  <c r="AQ220" i="59" s="1"/>
  <c r="AM205" i="11" a="1"/>
  <c r="AM205" i="11" s="1"/>
  <c r="AQ221" i="59" l="1" a="1"/>
  <c r="AQ221" i="59" s="1"/>
  <c r="AM206" i="11" a="1"/>
  <c r="AM206" i="11" s="1"/>
  <c r="AQ222" i="59" l="1" a="1"/>
  <c r="AQ222" i="59" s="1"/>
  <c r="AM207" i="11" a="1"/>
  <c r="AM207" i="11" s="1"/>
  <c r="AQ223" i="59" l="1" a="1"/>
  <c r="AQ223" i="59" s="1"/>
  <c r="AM208" i="11" a="1"/>
  <c r="AM208" i="11" s="1"/>
  <c r="AQ224" i="59" l="1" a="1"/>
  <c r="AQ224" i="59" s="1"/>
  <c r="AM209" i="11" a="1"/>
  <c r="AM209" i="11" s="1"/>
  <c r="AQ225" i="59" l="1" a="1"/>
  <c r="AQ225" i="59" s="1"/>
  <c r="AM210" i="11" a="1"/>
  <c r="AM210" i="11" s="1"/>
  <c r="AQ226" i="59" l="1" a="1"/>
  <c r="AQ226" i="59" s="1"/>
  <c r="AM211" i="11" a="1"/>
  <c r="AM211" i="11" s="1"/>
  <c r="AQ227" i="59" l="1" a="1"/>
  <c r="AQ227" i="59" s="1"/>
  <c r="AM212" i="11" a="1"/>
  <c r="AM212" i="11" s="1"/>
  <c r="AQ228" i="59" l="1" a="1"/>
  <c r="AQ228" i="59" s="1"/>
  <c r="AM213" i="11" a="1"/>
  <c r="AM213" i="11" s="1"/>
  <c r="AQ229" i="59" l="1" a="1"/>
  <c r="AQ229" i="59" s="1"/>
  <c r="AM214" i="11" a="1"/>
  <c r="AM214" i="11" s="1"/>
  <c r="AQ230" i="59" l="1" a="1"/>
  <c r="AQ230" i="59" s="1"/>
  <c r="AM215" i="11" a="1"/>
  <c r="AM215" i="11" s="1"/>
  <c r="AQ231" i="59" l="1" a="1"/>
  <c r="AQ231" i="59" s="1"/>
  <c r="AM216" i="11" a="1"/>
  <c r="AM216" i="11" s="1"/>
  <c r="AQ232" i="59" l="1" a="1"/>
  <c r="AQ232" i="59" s="1"/>
  <c r="AM217" i="11" a="1"/>
  <c r="AM217" i="11" s="1"/>
  <c r="AQ233" i="59" l="1" a="1"/>
  <c r="AQ233" i="59" s="1"/>
  <c r="AM218" i="11" a="1"/>
  <c r="AM218" i="11" s="1"/>
  <c r="AQ234" i="59" l="1" a="1"/>
  <c r="AQ234" i="59" s="1"/>
  <c r="AM219" i="11" a="1"/>
  <c r="AM219" i="11" s="1"/>
  <c r="AQ235" i="59" l="1" a="1"/>
  <c r="AQ235" i="59" s="1"/>
  <c r="AM220" i="11" a="1"/>
  <c r="AM220" i="11" s="1"/>
  <c r="AQ236" i="59" l="1" a="1"/>
  <c r="AQ236" i="59" s="1"/>
  <c r="AM221" i="11" a="1"/>
  <c r="AM221" i="11" s="1"/>
  <c r="AQ237" i="59" l="1" a="1"/>
  <c r="AQ237" i="59" s="1"/>
  <c r="AM222" i="11" a="1"/>
  <c r="AM222" i="11" s="1"/>
  <c r="AQ238" i="59" l="1" a="1"/>
  <c r="AQ238" i="59" s="1"/>
  <c r="AM223" i="11" a="1"/>
  <c r="AM223" i="11" s="1"/>
  <c r="AQ239" i="59" l="1" a="1"/>
  <c r="AQ239" i="59" s="1"/>
  <c r="AM224" i="11" a="1"/>
  <c r="AM224" i="11" s="1"/>
  <c r="AQ240" i="59" l="1" a="1"/>
  <c r="AQ240" i="59" s="1"/>
  <c r="AM225" i="11" a="1"/>
  <c r="AM225" i="11" s="1"/>
  <c r="AQ241" i="59" l="1" a="1"/>
  <c r="AQ241" i="59" s="1"/>
  <c r="AM226" i="11" a="1"/>
  <c r="AM226" i="11" s="1"/>
  <c r="AQ242" i="59" l="1" a="1"/>
  <c r="AQ242" i="59" s="1"/>
  <c r="AM227" i="11" a="1"/>
  <c r="AM227" i="11" s="1"/>
  <c r="AQ243" i="59" l="1" a="1"/>
  <c r="AQ243" i="59" s="1"/>
  <c r="AM228" i="11" a="1"/>
  <c r="AM228" i="11" s="1"/>
  <c r="AQ244" i="59" l="1" a="1"/>
  <c r="AQ244" i="59" s="1"/>
  <c r="AM229" i="11" a="1"/>
  <c r="AM229" i="11" s="1"/>
  <c r="AQ245" i="59" l="1" a="1"/>
  <c r="AQ245" i="59" s="1"/>
  <c r="AM230" i="11" a="1"/>
  <c r="AM230" i="11" s="1"/>
  <c r="AQ246" i="59" l="1" a="1"/>
  <c r="AQ246" i="59" s="1"/>
  <c r="AM231" i="11" a="1"/>
  <c r="AM231" i="11" s="1"/>
  <c r="AQ247" i="59" l="1" a="1"/>
  <c r="AQ247" i="59" s="1"/>
  <c r="AM232" i="11" a="1"/>
  <c r="AM232" i="11" s="1"/>
  <c r="AQ248" i="59" l="1" a="1"/>
  <c r="AQ248" i="59" s="1"/>
  <c r="AM233" i="11" a="1"/>
  <c r="AM233" i="11" s="1"/>
  <c r="AQ249" i="59" l="1" a="1"/>
  <c r="AQ249" i="59" s="1"/>
  <c r="AM234" i="11" a="1"/>
  <c r="AM234" i="11" s="1"/>
  <c r="AQ250" i="59" l="1" a="1"/>
  <c r="AQ250" i="59" s="1"/>
  <c r="AM235" i="11" a="1"/>
  <c r="AM235" i="11" s="1"/>
  <c r="AQ251" i="59" l="1" a="1"/>
  <c r="AQ251" i="59" s="1"/>
  <c r="AM236" i="11" a="1"/>
  <c r="AM236" i="11" s="1"/>
  <c r="AQ252" i="59" l="1" a="1"/>
  <c r="AQ252" i="59" s="1"/>
  <c r="AM237" i="11" a="1"/>
  <c r="AM237" i="11" s="1"/>
  <c r="AQ253" i="59" l="1" a="1"/>
  <c r="AQ253" i="59" s="1"/>
  <c r="AM238" i="11" a="1"/>
  <c r="AM238" i="11" s="1"/>
  <c r="AQ254" i="59" l="1" a="1"/>
  <c r="AQ254" i="59" s="1"/>
  <c r="AM239" i="11" a="1"/>
  <c r="AM239" i="11" s="1"/>
  <c r="AQ255" i="59" l="1" a="1"/>
  <c r="AQ255" i="59" s="1"/>
  <c r="AM240" i="11" a="1"/>
  <c r="AM240" i="11" s="1"/>
  <c r="AQ256" i="59" l="1" a="1"/>
  <c r="AQ256" i="59" s="1"/>
  <c r="AM241" i="11" a="1"/>
  <c r="AM241" i="11" s="1"/>
  <c r="AQ257" i="59" l="1" a="1"/>
  <c r="AQ257" i="59" s="1"/>
  <c r="AQ258" i="59" s="1" a="1"/>
  <c r="AQ258" i="59" s="1"/>
  <c r="AM242" i="11" a="1"/>
  <c r="AM242" i="11" s="1"/>
  <c r="AM243" i="11" l="1" a="1"/>
  <c r="AM243" i="11" s="1"/>
  <c r="AM244" i="11" l="1" a="1"/>
  <c r="AM244" i="11" s="1"/>
  <c r="AM245" i="11" l="1" a="1"/>
  <c r="AM245" i="11" s="1"/>
  <c r="AD60" i="22" l="1"/>
  <c r="BD125" i="22" s="1"/>
  <c r="AD76" i="22"/>
  <c r="BD105" i="22" s="1"/>
  <c r="E108" i="72" s="1"/>
  <c r="AC60" i="22"/>
  <c r="AN23" i="22"/>
  <c r="AM22" i="22"/>
  <c r="AD62" i="22"/>
  <c r="BD124" i="22" s="1"/>
  <c r="AN21" i="22"/>
  <c r="F59" i="36" s="1"/>
  <c r="H59" i="36" s="1"/>
  <c r="AM21" i="22"/>
  <c r="E59" i="36" s="1"/>
  <c r="G59" i="36" s="1"/>
  <c r="AM23" i="22"/>
  <c r="AC62" i="22"/>
  <c r="AN22" i="22"/>
  <c r="AM25" i="22"/>
  <c r="AN25" i="22"/>
  <c r="AN28" i="22"/>
  <c r="AN24" i="22"/>
  <c r="AN27" i="22"/>
  <c r="AM24" i="22"/>
  <c r="AM27" i="22"/>
  <c r="AC4" i="22"/>
  <c r="AC94" i="22"/>
  <c r="AD75" i="22"/>
  <c r="BD132" i="22" s="1"/>
  <c r="AC82" i="22"/>
  <c r="AC59" i="22"/>
  <c r="AD33" i="22"/>
  <c r="BD92" i="22" s="1"/>
  <c r="AD82" i="22"/>
  <c r="AC61" i="22"/>
  <c r="AC73" i="22"/>
  <c r="AD25" i="22"/>
  <c r="BD34" i="22" s="1"/>
  <c r="AD36" i="22"/>
  <c r="BD36" i="22" s="1"/>
  <c r="AD101" i="22"/>
  <c r="BD60" i="22" s="1"/>
  <c r="AC12" i="22"/>
  <c r="AD64" i="22"/>
  <c r="BD157" i="22" s="1"/>
  <c r="AD68" i="22"/>
  <c r="AD40" i="22"/>
  <c r="AC79" i="22"/>
  <c r="AD70" i="22"/>
  <c r="BD128" i="22" s="1"/>
  <c r="AD65" i="22"/>
  <c r="BD96" i="22" s="1"/>
  <c r="AC58" i="22"/>
  <c r="AC29" i="22"/>
  <c r="AC30" i="22"/>
  <c r="AC16" i="22"/>
  <c r="AD29" i="22"/>
  <c r="BD89" i="22" s="1"/>
  <c r="AD21" i="22"/>
  <c r="BD84" i="22" s="1"/>
  <c r="AD59" i="22"/>
  <c r="BD95" i="22" s="1"/>
  <c r="AC81" i="22"/>
  <c r="AC67" i="22"/>
  <c r="AC54" i="22"/>
  <c r="AC6" i="22"/>
  <c r="AC56" i="22"/>
  <c r="AD53" i="22"/>
  <c r="BD47" i="22" s="1"/>
  <c r="AD24" i="22"/>
  <c r="BD86" i="22" s="1"/>
  <c r="AD11" i="22"/>
  <c r="BD115" i="22" s="1"/>
  <c r="AD78" i="22"/>
  <c r="BD159" i="22" s="1"/>
  <c r="AC31" i="22"/>
  <c r="AC43" i="22"/>
  <c r="AD37" i="22"/>
  <c r="BD149" i="22" s="1"/>
  <c r="AD93" i="22"/>
  <c r="BD56" i="22" s="1"/>
  <c r="AC33" i="22"/>
  <c r="AC7" i="22"/>
  <c r="AD45" i="22"/>
  <c r="BD42" i="22" s="1"/>
  <c r="AC57" i="22"/>
  <c r="AD12" i="22"/>
  <c r="BD116" i="22" s="1"/>
  <c r="AC101" i="22"/>
  <c r="AC17" i="22"/>
  <c r="AC13" i="22"/>
  <c r="AC77" i="22"/>
  <c r="AC44" i="22"/>
  <c r="AD43" i="22"/>
  <c r="BD40" i="22" s="1"/>
  <c r="AD91" i="22"/>
  <c r="BD53" i="22" s="1"/>
  <c r="AD46" i="22"/>
  <c r="BD43" i="22" s="1"/>
  <c r="AD61" i="22"/>
  <c r="BD156" i="22" s="1"/>
  <c r="AC45" i="22"/>
  <c r="AC26" i="22"/>
  <c r="AD41" i="22"/>
  <c r="BD122" i="22" s="1"/>
  <c r="AD18" i="22"/>
  <c r="BD5" i="22" s="1"/>
  <c r="AD39" i="22"/>
  <c r="BD37" i="22" s="1"/>
  <c r="AC37" i="22"/>
  <c r="AC52" i="22"/>
  <c r="AC98" i="22"/>
  <c r="AD90" i="22"/>
  <c r="BD52" i="22" s="1"/>
  <c r="AD9" i="22"/>
  <c r="BD118" i="22" s="1"/>
  <c r="AC91" i="22"/>
  <c r="AD10" i="22"/>
  <c r="BD114" i="22" s="1"/>
  <c r="AC39" i="22"/>
  <c r="AD72" i="22"/>
  <c r="BD130" i="22" s="1"/>
  <c r="AD28" i="22"/>
  <c r="BD88" i="22" s="1"/>
  <c r="AC70" i="22"/>
  <c r="AC34" i="22"/>
  <c r="AD100" i="22"/>
  <c r="BD59" i="22" s="1"/>
  <c r="AD96" i="22"/>
  <c r="BD99" i="22" s="1"/>
  <c r="AC68" i="22"/>
  <c r="AD71" i="22"/>
  <c r="AD48" i="22"/>
  <c r="BD93" i="22" s="1"/>
  <c r="AC40" i="22"/>
  <c r="AD23" i="22"/>
  <c r="BD33" i="22" s="1"/>
  <c r="AD17" i="22"/>
  <c r="BD32" i="22" s="1"/>
  <c r="AD26" i="22"/>
  <c r="AD51" i="22"/>
  <c r="AD54" i="22"/>
  <c r="BD123" i="22" s="1"/>
  <c r="AC36" i="22"/>
  <c r="AC65" i="22"/>
  <c r="AC19" i="22"/>
  <c r="AD97" i="22"/>
  <c r="BD100" i="22" s="1"/>
  <c r="AD67" i="22"/>
  <c r="AC22" i="22"/>
  <c r="AD83" i="22"/>
  <c r="AD88" i="22"/>
  <c r="BD51" i="22" s="1"/>
  <c r="AD57" i="22"/>
  <c r="AC5" i="22"/>
  <c r="AD42" i="22"/>
  <c r="BD39" i="22" s="1"/>
  <c r="AC89" i="22"/>
  <c r="AC51" i="22"/>
  <c r="AC78" i="22"/>
  <c r="AD31" i="22"/>
  <c r="BD91" i="22" s="1"/>
  <c r="AC76" i="22"/>
  <c r="AO34" i="22" s="1"/>
  <c r="AC63" i="22"/>
  <c r="AC42" i="22"/>
  <c r="AD87" i="22"/>
  <c r="AD5" i="22"/>
  <c r="BD81" i="22" s="1"/>
  <c r="AC71" i="22"/>
  <c r="AC69" i="22"/>
  <c r="AC72" i="22"/>
  <c r="AC46" i="22"/>
  <c r="AC93" i="22"/>
  <c r="AD102" i="22"/>
  <c r="BD61" i="22" s="1"/>
  <c r="AD6" i="22"/>
  <c r="BD82" i="22" s="1"/>
  <c r="AC49" i="22"/>
  <c r="AC48" i="22"/>
  <c r="AD22" i="22"/>
  <c r="BD85" i="22" s="1"/>
  <c r="AC10" i="22"/>
  <c r="AD85" i="22"/>
  <c r="AD63" i="22"/>
  <c r="AC99" i="22"/>
  <c r="AC25" i="22"/>
  <c r="AC84" i="22"/>
  <c r="AD52" i="22"/>
  <c r="BD46" i="22" s="1"/>
  <c r="AD49" i="22"/>
  <c r="BD94" i="22" s="1"/>
  <c r="AC18" i="22"/>
  <c r="AD95" i="22"/>
  <c r="BD98" i="22" s="1"/>
  <c r="AD89" i="22"/>
  <c r="AD86" i="22"/>
  <c r="AD66" i="22"/>
  <c r="BD158" i="22" s="1"/>
  <c r="AD20" i="22"/>
  <c r="BD119" i="22" s="1"/>
  <c r="AD69" i="22"/>
  <c r="AC97" i="22"/>
  <c r="AC64" i="22"/>
  <c r="AC9" i="22"/>
  <c r="AD30" i="22"/>
  <c r="BD90" i="22" s="1"/>
  <c r="E99" i="72" s="1"/>
  <c r="AC53" i="22"/>
  <c r="AD94" i="22"/>
  <c r="BD138" i="22" s="1"/>
  <c r="AC20" i="22"/>
  <c r="AD27" i="22"/>
  <c r="BD87" i="22" s="1"/>
  <c r="AD73" i="22"/>
  <c r="BD50" i="22" s="1"/>
  <c r="AC86" i="22"/>
  <c r="AD98" i="22"/>
  <c r="BD57" i="22" s="1"/>
  <c r="AC14" i="22"/>
  <c r="AC102" i="22"/>
  <c r="AD14" i="22"/>
  <c r="BD30" i="22" s="1"/>
  <c r="D37" i="104" s="1"/>
  <c r="AD16" i="22"/>
  <c r="BD31" i="22" s="1"/>
  <c r="AD47" i="22"/>
  <c r="BD44" i="22" s="1"/>
  <c r="AC47" i="22"/>
  <c r="AD79" i="22"/>
  <c r="BD136" i="22" s="1"/>
  <c r="AD84" i="22"/>
  <c r="AC66" i="22"/>
  <c r="AD19" i="22"/>
  <c r="AD7" i="22"/>
  <c r="BD83" i="22" s="1"/>
  <c r="AD34" i="22"/>
  <c r="AC11" i="22"/>
  <c r="AD99" i="22"/>
  <c r="BD58" i="22" s="1"/>
  <c r="AC32" i="22"/>
  <c r="AC27" i="22"/>
  <c r="AC50" i="22"/>
  <c r="AC83" i="22"/>
  <c r="AC75" i="22"/>
  <c r="AC85" i="22"/>
  <c r="AC92" i="22"/>
  <c r="AC96" i="22"/>
  <c r="AC24" i="22"/>
  <c r="AD32" i="22"/>
  <c r="BD35" i="22" s="1"/>
  <c r="AD56" i="22"/>
  <c r="BD48" i="22" s="1"/>
  <c r="AC90" i="22"/>
  <c r="AC23" i="22"/>
  <c r="AC95" i="22"/>
  <c r="AD50" i="22"/>
  <c r="BD45" i="22" s="1"/>
  <c r="AC87" i="22"/>
  <c r="AD92" i="22"/>
  <c r="BD54" i="22" s="1"/>
  <c r="AD58" i="22"/>
  <c r="BD49" i="22" s="1"/>
  <c r="AC41" i="22"/>
  <c r="AC88" i="22"/>
  <c r="AD77" i="22"/>
  <c r="BD135" i="22" s="1"/>
  <c r="AC28" i="22"/>
  <c r="AD13" i="22"/>
  <c r="BD117" i="22" s="1"/>
  <c r="AD81" i="22"/>
  <c r="BD137" i="22" s="1"/>
  <c r="AC21" i="22"/>
  <c r="AD44" i="22"/>
  <c r="BD41" i="22" s="1"/>
  <c r="AM246" i="11" a="1"/>
  <c r="AM246" i="11" s="1"/>
  <c r="AP34" i="22" l="1"/>
  <c r="D25" i="104"/>
  <c r="D15" i="104"/>
  <c r="E150" i="72"/>
  <c r="E129" i="72"/>
  <c r="E62" i="72"/>
  <c r="E162" i="72"/>
  <c r="E127" i="72"/>
  <c r="E142" i="72"/>
  <c r="E131" i="72"/>
  <c r="E90" i="72"/>
  <c r="E135" i="72"/>
  <c r="E126" i="72"/>
  <c r="E13" i="72"/>
  <c r="E148" i="72"/>
  <c r="E149" i="72"/>
  <c r="E151" i="72"/>
  <c r="E91" i="72"/>
  <c r="E134" i="72"/>
  <c r="E128" i="72"/>
  <c r="E137" i="72"/>
  <c r="E103" i="72"/>
  <c r="E145" i="72"/>
  <c r="E130" i="72"/>
  <c r="E147" i="72"/>
  <c r="E139" i="72"/>
  <c r="BD11" i="22"/>
  <c r="BD150" i="22"/>
  <c r="BD9" i="22"/>
  <c r="BD12" i="22"/>
  <c r="BD15" i="22"/>
  <c r="BD13" i="22"/>
  <c r="BD14" i="22"/>
  <c r="BD10" i="22"/>
  <c r="BD7" i="22"/>
  <c r="BD16" i="22"/>
  <c r="BD17" i="22"/>
  <c r="E70" i="72"/>
  <c r="BD19" i="22"/>
  <c r="BD18" i="22"/>
  <c r="BD6" i="22"/>
  <c r="BD8" i="22"/>
  <c r="BD127" i="22"/>
  <c r="BD126" i="22"/>
  <c r="BD97" i="22"/>
  <c r="BD129" i="22"/>
  <c r="AD8" i="22"/>
  <c r="AC15" i="22"/>
  <c r="AO22" i="22" s="1"/>
  <c r="AD35" i="22"/>
  <c r="AM26" i="22"/>
  <c r="AD15" i="22"/>
  <c r="AN26" i="22"/>
  <c r="AC8" i="22"/>
  <c r="AO21" i="22" s="1"/>
  <c r="AC35" i="22"/>
  <c r="AO23" i="22" s="1"/>
  <c r="AD74" i="22"/>
  <c r="AC74" i="22"/>
  <c r="AO26" i="22" s="1"/>
  <c r="AO24" i="22"/>
  <c r="AP28" i="22"/>
  <c r="AP27" i="22"/>
  <c r="AP25" i="22"/>
  <c r="AP24" i="22"/>
  <c r="AO27" i="22"/>
  <c r="AO25" i="22"/>
  <c r="AM28" i="22"/>
  <c r="AC100" i="22"/>
  <c r="AO28" i="22" s="1"/>
  <c r="E53" i="72"/>
  <c r="E51" i="72"/>
  <c r="E55" i="72"/>
  <c r="E54" i="72"/>
  <c r="E41" i="72"/>
  <c r="E58" i="72"/>
  <c r="E94" i="72"/>
  <c r="E97" i="72"/>
  <c r="E69" i="72"/>
  <c r="E42" i="72"/>
  <c r="E68" i="72"/>
  <c r="E46" i="72"/>
  <c r="E57" i="72"/>
  <c r="E111" i="72"/>
  <c r="E105" i="72"/>
  <c r="E52" i="72"/>
  <c r="E95" i="72"/>
  <c r="E98" i="72"/>
  <c r="E48" i="72"/>
  <c r="E102" i="72"/>
  <c r="E59" i="72"/>
  <c r="E104" i="72"/>
  <c r="E92" i="72"/>
  <c r="E56" i="72"/>
  <c r="E110" i="72"/>
  <c r="E101" i="72"/>
  <c r="E67" i="72"/>
  <c r="E50" i="72"/>
  <c r="E112" i="72"/>
  <c r="E60" i="72"/>
  <c r="E43" i="72"/>
  <c r="E106" i="72"/>
  <c r="E66" i="72"/>
  <c r="E61" i="72"/>
  <c r="E65" i="72"/>
  <c r="E64" i="72"/>
  <c r="E47" i="72"/>
  <c r="E44" i="72"/>
  <c r="E96" i="72"/>
  <c r="E49" i="72"/>
  <c r="E63" i="72"/>
  <c r="BD79" i="22"/>
  <c r="E93" i="72"/>
  <c r="E45" i="72"/>
  <c r="AM247" i="11" a="1"/>
  <c r="AM247" i="11" s="1"/>
  <c r="D38" i="104" l="1"/>
  <c r="D23" i="105"/>
  <c r="E107" i="72"/>
  <c r="D26" i="104"/>
  <c r="E14" i="72"/>
  <c r="E25" i="72"/>
  <c r="E22" i="72"/>
  <c r="E17" i="72"/>
  <c r="E140" i="72"/>
  <c r="E26" i="72"/>
  <c r="E24" i="72"/>
  <c r="E21" i="72"/>
  <c r="E144" i="72"/>
  <c r="E141" i="72"/>
  <c r="E27" i="72"/>
  <c r="E15" i="72"/>
  <c r="E23" i="72"/>
  <c r="E19" i="72"/>
  <c r="E143" i="72"/>
  <c r="E16" i="72"/>
  <c r="E18" i="72"/>
  <c r="E20" i="72"/>
  <c r="E83" i="72"/>
  <c r="AP22" i="22"/>
  <c r="BD120" i="22"/>
  <c r="AP23" i="22"/>
  <c r="BD121" i="22"/>
  <c r="AP26" i="22"/>
  <c r="BD131" i="22"/>
  <c r="AP21" i="22"/>
  <c r="E89" i="72"/>
  <c r="AM248" i="11" a="1"/>
  <c r="AM248" i="11" s="1"/>
  <c r="E116" i="72" l="1"/>
  <c r="E33" i="72"/>
  <c r="E146" i="72"/>
  <c r="E132" i="72"/>
  <c r="E133" i="72"/>
  <c r="AM249" i="1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3" i="22" l="1"/>
  <c r="AY158" i="22"/>
  <c r="AY51" i="22"/>
  <c r="AY50" i="22"/>
  <c r="AY53" i="22"/>
  <c r="AY117" i="22"/>
  <c r="AY99" i="22"/>
  <c r="AY127" i="22"/>
  <c r="AY135" i="22"/>
  <c r="AY124" i="22"/>
  <c r="AY125" i="22"/>
  <c r="AZ124" i="22"/>
  <c r="AY44" i="22"/>
  <c r="AZ125" i="22"/>
  <c r="AY32" i="22"/>
  <c r="AY89" i="22"/>
  <c r="AY87" i="22"/>
  <c r="AY60" i="22"/>
  <c r="AY56" i="22"/>
  <c r="AY58" i="22"/>
  <c r="AY59" i="22"/>
  <c r="AY49" i="22"/>
  <c r="AY11" i="22"/>
  <c r="AZ52" i="22"/>
  <c r="AY45" i="22"/>
  <c r="AY5" i="22"/>
  <c r="AY128" i="22"/>
  <c r="AY6" i="22"/>
  <c r="AY96" i="22"/>
  <c r="AZ131" i="22"/>
  <c r="AY90" i="22"/>
  <c r="AY43" i="22"/>
  <c r="AY114" i="22"/>
  <c r="AY130" i="22"/>
  <c r="AY47" i="22"/>
  <c r="AZ120" i="22"/>
  <c r="AY94" i="22"/>
  <c r="AY138" i="22"/>
  <c r="AY17" i="22"/>
  <c r="AY121" i="22"/>
  <c r="AY14" i="22"/>
  <c r="AY116" i="22"/>
  <c r="AY83" i="22"/>
  <c r="AY120" i="22"/>
  <c r="AY159" i="22"/>
  <c r="AY92" i="22"/>
  <c r="AY8" i="22"/>
  <c r="AY95" i="22"/>
  <c r="AY118" i="22"/>
  <c r="AY37" i="22"/>
  <c r="AY82" i="22"/>
  <c r="AY100" i="22"/>
  <c r="AY41" i="22"/>
  <c r="AY136" i="22"/>
  <c r="AY88" i="22"/>
  <c r="AY54" i="22"/>
  <c r="AY137" i="22"/>
  <c r="AY156" i="22"/>
  <c r="AY131" i="22"/>
  <c r="AY40" i="22"/>
  <c r="AY85" i="22"/>
  <c r="AY46" i="22"/>
  <c r="AY16" i="22"/>
  <c r="AY12" i="22"/>
  <c r="AY123" i="22"/>
  <c r="AY157" i="22"/>
  <c r="AY31" i="22"/>
  <c r="AY35" i="22"/>
  <c r="AY36" i="22"/>
  <c r="AY57" i="22"/>
  <c r="AY48" i="22"/>
  <c r="AY129" i="22"/>
  <c r="AY122" i="22"/>
  <c r="AY86" i="22"/>
  <c r="AY93" i="22"/>
  <c r="AY10" i="22"/>
  <c r="AY98" i="22"/>
  <c r="AY81" i="22"/>
  <c r="AY119" i="22"/>
  <c r="AY33" i="22"/>
  <c r="AY18" i="22"/>
  <c r="AY30" i="22"/>
  <c r="AY15" i="22"/>
  <c r="AY91" i="22"/>
  <c r="AY7" i="22"/>
  <c r="AY149" i="22"/>
  <c r="AY84" i="22"/>
  <c r="AY52" i="22"/>
  <c r="AY39" i="22"/>
  <c r="AZ121" i="22"/>
  <c r="AY115" i="22"/>
  <c r="AY97" i="22"/>
  <c r="AY132" i="22"/>
  <c r="AY34" i="22"/>
  <c r="AY42" i="22"/>
  <c r="AZ98" i="22" l="1"/>
  <c r="AZ81" i="22"/>
  <c r="AZ96" i="22"/>
  <c r="AZ32" i="22"/>
  <c r="AZ11" i="22"/>
  <c r="AZ12" i="22"/>
  <c r="AZ48" i="22"/>
  <c r="AZ122" i="22"/>
  <c r="AZ30" i="22"/>
  <c r="AZ58" i="22"/>
  <c r="AZ119" i="22"/>
  <c r="AZ116" i="22"/>
  <c r="AZ156" i="22"/>
  <c r="AZ18" i="22"/>
  <c r="AZ138" i="22"/>
  <c r="AZ90" i="22"/>
  <c r="AZ89" i="22"/>
  <c r="AZ16" i="22"/>
  <c r="AZ88" i="22"/>
  <c r="AZ10" i="22"/>
  <c r="AZ157" i="22"/>
  <c r="AZ8" i="22"/>
  <c r="AZ45" i="22"/>
  <c r="AZ99" i="22"/>
  <c r="AZ159" i="22"/>
  <c r="AZ50" i="22"/>
  <c r="AZ114" i="22"/>
  <c r="AZ5" i="22"/>
  <c r="AZ93" i="22"/>
  <c r="AZ82" i="22"/>
  <c r="AZ135" i="22"/>
  <c r="AZ43" i="22"/>
  <c r="AZ47" i="22"/>
  <c r="AZ7" i="22"/>
  <c r="AZ97" i="22"/>
  <c r="AZ60" i="22"/>
  <c r="AZ49" i="22"/>
  <c r="AZ115" i="22"/>
  <c r="AZ130" i="22"/>
  <c r="AZ84" i="22"/>
  <c r="AZ127" i="22"/>
  <c r="AZ129" i="22"/>
  <c r="AZ57" i="22"/>
  <c r="AZ86" i="22"/>
  <c r="AZ56" i="22"/>
  <c r="AZ91" i="22"/>
  <c r="AZ100" i="22"/>
  <c r="AZ17" i="22"/>
  <c r="AZ92" i="22"/>
  <c r="AZ95" i="22"/>
  <c r="AZ132" i="22"/>
  <c r="AZ87" i="22"/>
  <c r="AZ15" i="22"/>
  <c r="AZ79" i="22"/>
  <c r="AZ35" i="22"/>
  <c r="AZ51" i="22"/>
  <c r="AZ54" i="22"/>
  <c r="AZ34" i="22"/>
  <c r="AZ85" i="22"/>
  <c r="AZ31" i="22"/>
  <c r="AZ33" i="22"/>
  <c r="Q4" i="22"/>
  <c r="BA79" i="22" s="1"/>
  <c r="AY79" i="22"/>
  <c r="AZ118" i="22"/>
  <c r="AZ149" i="22"/>
  <c r="AZ128" i="22"/>
  <c r="AZ41" i="22"/>
  <c r="AZ42" i="22"/>
  <c r="AZ53" i="22"/>
  <c r="AZ36" i="22"/>
  <c r="AZ46" i="22"/>
  <c r="AZ123" i="22"/>
  <c r="AZ137" i="22"/>
  <c r="AZ14" i="22"/>
  <c r="AZ136" i="22"/>
  <c r="AZ94" i="22"/>
  <c r="AZ6" i="22"/>
  <c r="AZ117" i="22"/>
  <c r="AZ158" i="22"/>
  <c r="AZ37" i="22"/>
  <c r="AZ39" i="22"/>
  <c r="AZ40" i="22"/>
  <c r="AZ44" i="22"/>
  <c r="R7" i="22"/>
  <c r="AF7" i="22" s="1"/>
  <c r="E60" i="36"/>
  <c r="G60" i="36" s="1"/>
  <c r="E66" i="36"/>
  <c r="G66" i="36" s="1"/>
  <c r="E62" i="36"/>
  <c r="G62" i="36" s="1"/>
  <c r="E63" i="36"/>
  <c r="G63" i="36" s="1"/>
  <c r="E64" i="36"/>
  <c r="G64" i="36" s="1"/>
  <c r="F62" i="36"/>
  <c r="H62" i="36" s="1"/>
  <c r="F63" i="36"/>
  <c r="H63" i="36" s="1"/>
  <c r="F61" i="36"/>
  <c r="H61" i="36" s="1"/>
  <c r="F60" i="36"/>
  <c r="H60" i="36" s="1"/>
  <c r="E61" i="36"/>
  <c r="G61" i="36" s="1"/>
  <c r="F64" i="36"/>
  <c r="H64"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C37" i="104" s="1"/>
  <c r="R24" i="22"/>
  <c r="R77" i="22"/>
  <c r="BB135" i="22" s="1"/>
  <c r="R5" i="22"/>
  <c r="BB81" i="22" s="1"/>
  <c r="R20" i="22"/>
  <c r="BB119" i="22" s="1"/>
  <c r="R12" i="22"/>
  <c r="BB116" i="22" s="1"/>
  <c r="Q51" i="22"/>
  <c r="Q5" i="22"/>
  <c r="BA81" i="22" s="1"/>
  <c r="Q24" i="22"/>
  <c r="BA86" i="22" s="1"/>
  <c r="Q71" i="22"/>
  <c r="Q56" i="22"/>
  <c r="BA48" i="22" s="1"/>
  <c r="R46" i="22"/>
  <c r="BB43" i="22" s="1"/>
  <c r="Q32" i="22"/>
  <c r="BA35" i="22" s="1"/>
  <c r="R30" i="22"/>
  <c r="BB90" i="22" s="1"/>
  <c r="D99" i="72" s="1"/>
  <c r="Q86" i="22"/>
  <c r="R29" i="22"/>
  <c r="BB89" i="22" s="1"/>
  <c r="Q43" i="22"/>
  <c r="BA40" i="22" s="1"/>
  <c r="Q74" i="22"/>
  <c r="BA131" i="22" s="1"/>
  <c r="Q92" i="22"/>
  <c r="BA54" i="22" s="1"/>
  <c r="Q28" i="22"/>
  <c r="BA88" i="22" s="1"/>
  <c r="Q97" i="22"/>
  <c r="BA100" i="22" s="1"/>
  <c r="R59" i="22"/>
  <c r="BB95" i="22" s="1"/>
  <c r="Q82" i="22"/>
  <c r="R56" i="22"/>
  <c r="BB48" i="22" s="1"/>
  <c r="Q7" i="22"/>
  <c r="BA83" i="22" s="1"/>
  <c r="R67" i="22"/>
  <c r="Q49" i="22"/>
  <c r="BA94" i="22" s="1"/>
  <c r="Q53" i="22"/>
  <c r="BA47" i="22" s="1"/>
  <c r="R102" i="22"/>
  <c r="BB61" i="22" s="1"/>
  <c r="R68" i="22"/>
  <c r="R13" i="22"/>
  <c r="BB117" i="22" s="1"/>
  <c r="Q50" i="22"/>
  <c r="BA45" i="22" s="1"/>
  <c r="R88" i="22"/>
  <c r="BB51" i="22" s="1"/>
  <c r="R58" i="22"/>
  <c r="BB49" i="22" s="1"/>
  <c r="Q99" i="22"/>
  <c r="BA58" i="22" s="1"/>
  <c r="R11" i="22"/>
  <c r="BB115" i="22" s="1"/>
  <c r="R72" i="22"/>
  <c r="BB130" i="22" s="1"/>
  <c r="R21" i="22"/>
  <c r="R96" i="22"/>
  <c r="BB99" i="22" s="1"/>
  <c r="R63" i="22"/>
  <c r="R42" i="22"/>
  <c r="BB39" i="22" s="1"/>
  <c r="R43" i="22"/>
  <c r="BB40" i="22" s="1"/>
  <c r="Q60" i="22"/>
  <c r="BA125" i="22" s="1"/>
  <c r="Q69" i="22"/>
  <c r="R9" i="22"/>
  <c r="R37" i="22"/>
  <c r="BB149" i="22" s="1"/>
  <c r="Q45" i="22"/>
  <c r="BA42" i="22" s="1"/>
  <c r="Q75" i="22"/>
  <c r="BA132" i="22" s="1"/>
  <c r="R95" i="22"/>
  <c r="BB98" i="22" s="1"/>
  <c r="Q11" i="22"/>
  <c r="BA115" i="22" s="1"/>
  <c r="Q90" i="22"/>
  <c r="BA52" i="22" s="1"/>
  <c r="R93" i="22"/>
  <c r="BB56" i="22" s="1"/>
  <c r="Q37" i="22"/>
  <c r="BA149" i="22" s="1"/>
  <c r="R65" i="22"/>
  <c r="BB96" i="22" s="1"/>
  <c r="Q19" i="22"/>
  <c r="R45" i="22"/>
  <c r="BB42" i="22" s="1"/>
  <c r="Q95" i="22"/>
  <c r="BA98" i="22" s="1"/>
  <c r="R91" i="22"/>
  <c r="BB53" i="22" s="1"/>
  <c r="R36" i="22"/>
  <c r="BB36" i="22" s="1"/>
  <c r="R97" i="22"/>
  <c r="BB100" i="22" s="1"/>
  <c r="Q36" i="22"/>
  <c r="BA36" i="22" s="1"/>
  <c r="R85" i="22"/>
  <c r="Q64" i="22"/>
  <c r="BA157" i="22" s="1"/>
  <c r="Q26" i="22"/>
  <c r="R81" i="22"/>
  <c r="BB137" i="22" s="1"/>
  <c r="R8" i="22"/>
  <c r="R89" i="22"/>
  <c r="R79" i="22"/>
  <c r="BB136" i="22" s="1"/>
  <c r="Q79" i="22"/>
  <c r="BA136" i="22" s="1"/>
  <c r="R49" i="22"/>
  <c r="BB94" i="22" s="1"/>
  <c r="Q9" i="22"/>
  <c r="BA118" i="22" s="1"/>
  <c r="Q33" i="22"/>
  <c r="BA92" i="22" s="1"/>
  <c r="R75" i="22"/>
  <c r="BB132" i="22" s="1"/>
  <c r="R27" i="22"/>
  <c r="BB87" i="22" s="1"/>
  <c r="Q35" i="22"/>
  <c r="BA121" i="22" s="1"/>
  <c r="R15" i="22"/>
  <c r="BB120" i="22" s="1"/>
  <c r="Q72" i="22"/>
  <c r="BA130" i="22" s="1"/>
  <c r="Q46" i="22"/>
  <c r="BA43" i="22" s="1"/>
  <c r="R74" i="22"/>
  <c r="BB131" i="22" s="1"/>
  <c r="Q70" i="22"/>
  <c r="BA128" i="22" s="1"/>
  <c r="R90" i="22"/>
  <c r="BB52" i="22" s="1"/>
  <c r="Q85" i="22"/>
  <c r="R92" i="22"/>
  <c r="BB54" i="22" s="1"/>
  <c r="Q76" i="22"/>
  <c r="BA105" i="22" s="1"/>
  <c r="Q27" i="22"/>
  <c r="BA87" i="22" s="1"/>
  <c r="Q63" i="22"/>
  <c r="Q17" i="22"/>
  <c r="BA32" i="22" s="1"/>
  <c r="R78" i="22"/>
  <c r="BB159" i="22" s="1"/>
  <c r="R73" i="22"/>
  <c r="BB50" i="22" s="1"/>
  <c r="R10" i="22"/>
  <c r="BB114" i="22" s="1"/>
  <c r="Q77" i="22"/>
  <c r="BA135" i="22" s="1"/>
  <c r="R47" i="22"/>
  <c r="BB44" i="22" s="1"/>
  <c r="Q91" i="22"/>
  <c r="BA53" i="22" s="1"/>
  <c r="Q66" i="22"/>
  <c r="BA158" i="22" s="1"/>
  <c r="R41" i="22"/>
  <c r="BB122" i="22" s="1"/>
  <c r="R71" i="22"/>
  <c r="Q87" i="22"/>
  <c r="R98" i="22"/>
  <c r="BB57" i="22" s="1"/>
  <c r="R6" i="22"/>
  <c r="R35" i="22"/>
  <c r="BB121" i="22" s="1"/>
  <c r="Q21" i="22"/>
  <c r="BA84" i="22" s="1"/>
  <c r="R31" i="22"/>
  <c r="BB91" i="22" s="1"/>
  <c r="Q31" i="22"/>
  <c r="BA91" i="22" s="1"/>
  <c r="R61" i="22"/>
  <c r="BB156" i="22" s="1"/>
  <c r="Q23" i="22"/>
  <c r="BA33" i="22" s="1"/>
  <c r="Q84" i="22"/>
  <c r="Q41" i="22"/>
  <c r="BA122" i="22" s="1"/>
  <c r="R51" i="22"/>
  <c r="Q98" i="22"/>
  <c r="BA57" i="22" s="1"/>
  <c r="R52" i="22"/>
  <c r="BB46" i="22" s="1"/>
  <c r="Q16" i="22"/>
  <c r="BA31" i="22" s="1"/>
  <c r="Q54" i="22"/>
  <c r="BA123" i="22" s="1"/>
  <c r="R40" i="22"/>
  <c r="Q52" i="22"/>
  <c r="BA46" i="22" s="1"/>
  <c r="R76" i="22"/>
  <c r="BB105" i="22" s="1"/>
  <c r="Q68" i="22"/>
  <c r="Q61" i="22"/>
  <c r="BA156" i="22" s="1"/>
  <c r="R26" i="22"/>
  <c r="R28" i="22"/>
  <c r="Q6" i="22"/>
  <c r="BA82" i="22" s="1"/>
  <c r="Q59" i="22"/>
  <c r="BA95" i="22" s="1"/>
  <c r="Q78" i="22"/>
  <c r="BA159" i="22" s="1"/>
  <c r="Q15" i="22"/>
  <c r="BA120" i="22" s="1"/>
  <c r="Q12" i="22"/>
  <c r="BA116" i="22" s="1"/>
  <c r="Q40" i="22"/>
  <c r="R34" i="22"/>
  <c r="R19" i="22"/>
  <c r="R32" i="22"/>
  <c r="BB35" i="22" s="1"/>
  <c r="Q65" i="22"/>
  <c r="BA96" i="22" s="1"/>
  <c r="Q18" i="22"/>
  <c r="BA5" i="22" s="1"/>
  <c r="R64" i="22"/>
  <c r="BB157" i="22" s="1"/>
  <c r="Q58" i="22"/>
  <c r="BA49" i="22" s="1"/>
  <c r="R66" i="22"/>
  <c r="BB158" i="22" s="1"/>
  <c r="Q93" i="22"/>
  <c r="BA56" i="22" s="1"/>
  <c r="Q29" i="22"/>
  <c r="BA89" i="22" s="1"/>
  <c r="R39" i="22"/>
  <c r="BB37" i="22" s="1"/>
  <c r="R22" i="22"/>
  <c r="R87" i="22"/>
  <c r="R60" i="22"/>
  <c r="BB125" i="22" s="1"/>
  <c r="R62" i="22"/>
  <c r="BB124" i="22" s="1"/>
  <c r="Q62" i="22"/>
  <c r="BA124" i="22" s="1"/>
  <c r="R18" i="22"/>
  <c r="BB5" i="22" s="1"/>
  <c r="Q96" i="22"/>
  <c r="BA99" i="22" s="1"/>
  <c r="Q73" i="22"/>
  <c r="BA50" i="22" s="1"/>
  <c r="Q25" i="22"/>
  <c r="BA34" i="22" s="1"/>
  <c r="Q67" i="22"/>
  <c r="R70" i="22"/>
  <c r="BB128" i="22" s="1"/>
  <c r="Q42" i="22"/>
  <c r="BA39" i="22" s="1"/>
  <c r="R99" i="22"/>
  <c r="BB58" i="22" s="1"/>
  <c r="R44" i="22"/>
  <c r="BB41" i="22" s="1"/>
  <c r="Q57" i="22"/>
  <c r="Q14" i="22"/>
  <c r="BA30" i="22" s="1"/>
  <c r="Q20" i="22"/>
  <c r="BA119" i="22" s="1"/>
  <c r="Q48" i="22"/>
  <c r="BA93" i="22" s="1"/>
  <c r="R17" i="22"/>
  <c r="BB32" i="22" s="1"/>
  <c r="R94" i="22"/>
  <c r="BB138" i="22" s="1"/>
  <c r="Q8" i="22"/>
  <c r="R54" i="22"/>
  <c r="BB123" i="22" s="1"/>
  <c r="R33" i="22"/>
  <c r="BB92" i="22" s="1"/>
  <c r="Q22" i="22"/>
  <c r="BA85" i="22" s="1"/>
  <c r="R86" i="22"/>
  <c r="Q81" i="22"/>
  <c r="BA137" i="22" s="1"/>
  <c r="R53" i="22"/>
  <c r="BB47" i="22" s="1"/>
  <c r="Q44" i="22"/>
  <c r="BA41" i="22" s="1"/>
  <c r="Q39" i="22"/>
  <c r="BA37" i="22" s="1"/>
  <c r="R57" i="22"/>
  <c r="R84" i="22"/>
  <c r="Q89" i="22"/>
  <c r="Q94" i="22"/>
  <c r="BA138" i="22" s="1"/>
  <c r="Q10" i="22"/>
  <c r="BA114" i="22" s="1"/>
  <c r="Q102" i="22"/>
  <c r="BA61" i="22" s="1"/>
  <c r="Q30" i="22"/>
  <c r="BA90" i="22" s="1"/>
  <c r="Q34" i="22"/>
  <c r="R101" i="22"/>
  <c r="BB60" i="22" s="1"/>
  <c r="Q100" i="22"/>
  <c r="BA59" i="22" s="1"/>
  <c r="Q101" i="22"/>
  <c r="BA60" i="22" s="1"/>
  <c r="R82" i="22"/>
  <c r="R50" i="22"/>
  <c r="BB45" i="22" s="1"/>
  <c r="R16" i="22"/>
  <c r="BB31" i="22" s="1"/>
  <c r="Q47" i="22"/>
  <c r="BA44" i="22" s="1"/>
  <c r="R23" i="22"/>
  <c r="BB33" i="22" s="1"/>
  <c r="R69" i="22"/>
  <c r="Q13" i="22"/>
  <c r="BA117" i="22" s="1"/>
  <c r="Q88" i="22"/>
  <c r="BA51" i="22" s="1"/>
  <c r="R48" i="22"/>
  <c r="BB93" i="22" s="1"/>
  <c r="BE105" i="22" l="1"/>
  <c r="D108" i="72"/>
  <c r="AO17" i="22"/>
  <c r="AP17" i="22"/>
  <c r="C25" i="104"/>
  <c r="D62" i="72"/>
  <c r="D147" i="72"/>
  <c r="D150" i="72"/>
  <c r="D145" i="72"/>
  <c r="BE61" i="22"/>
  <c r="D131" i="72"/>
  <c r="D103" i="72"/>
  <c r="D151" i="72"/>
  <c r="D137" i="72"/>
  <c r="D132" i="72"/>
  <c r="D149" i="72"/>
  <c r="D127" i="72"/>
  <c r="D90" i="72"/>
  <c r="D142" i="72"/>
  <c r="D139" i="72"/>
  <c r="D134" i="72"/>
  <c r="D146" i="72"/>
  <c r="D129" i="72"/>
  <c r="D148" i="72"/>
  <c r="D135" i="72"/>
  <c r="D13" i="72"/>
  <c r="D126" i="72"/>
  <c r="D162" i="72"/>
  <c r="D128" i="72"/>
  <c r="BA6" i="22"/>
  <c r="BB150" i="22"/>
  <c r="BA150" i="22"/>
  <c r="BA10" i="22"/>
  <c r="D133" i="72"/>
  <c r="BB18" i="22"/>
  <c r="BA7" i="22"/>
  <c r="BB8" i="22"/>
  <c r="BB7" i="22"/>
  <c r="BA16" i="22"/>
  <c r="BA17" i="22"/>
  <c r="BA15" i="22"/>
  <c r="BA14" i="22"/>
  <c r="BA11" i="22"/>
  <c r="BA8" i="22"/>
  <c r="BA12" i="22"/>
  <c r="BA18" i="22"/>
  <c r="BB11" i="22"/>
  <c r="BA19" i="22"/>
  <c r="BB10" i="22"/>
  <c r="BB12" i="22"/>
  <c r="BB6" i="22"/>
  <c r="BB19" i="22"/>
  <c r="BB14" i="22"/>
  <c r="BB17" i="22"/>
  <c r="BA127" i="22"/>
  <c r="BA126" i="22"/>
  <c r="BB127" i="22"/>
  <c r="BB126" i="22"/>
  <c r="BB129" i="22"/>
  <c r="BA97" i="22"/>
  <c r="BB97" i="22"/>
  <c r="BA129" i="22"/>
  <c r="BB86" i="22"/>
  <c r="BB16" i="22"/>
  <c r="BE81" i="22"/>
  <c r="BE93" i="22"/>
  <c r="BB83" i="22"/>
  <c r="BB118" i="22"/>
  <c r="BB85" i="22"/>
  <c r="BB15" i="22"/>
  <c r="BB84" i="22"/>
  <c r="BB82" i="22"/>
  <c r="BB88" i="22"/>
  <c r="BE120" i="22"/>
  <c r="BE52" i="22"/>
  <c r="BE121" i="22"/>
  <c r="BE131" i="22"/>
  <c r="BE124" i="22"/>
  <c r="BE125" i="22"/>
  <c r="E39" i="36"/>
  <c r="AO5" i="22"/>
  <c r="AO11" i="22"/>
  <c r="AO9" i="22"/>
  <c r="AO7" i="22"/>
  <c r="AP7" i="22"/>
  <c r="AO6" i="22"/>
  <c r="AO8" i="22"/>
  <c r="AP8" i="22"/>
  <c r="AP9" i="22"/>
  <c r="AN4" i="22"/>
  <c r="F39" i="36" s="1"/>
  <c r="BE87" i="22"/>
  <c r="AP6" i="22"/>
  <c r="BE159" i="22"/>
  <c r="BF159" i="22" s="1"/>
  <c r="BE48" i="22"/>
  <c r="D60" i="72"/>
  <c r="AE30" i="22"/>
  <c r="AE10" i="22"/>
  <c r="AE94" i="22"/>
  <c r="AE39" i="22"/>
  <c r="AF86" i="22"/>
  <c r="AF33" i="22"/>
  <c r="AF17" i="22"/>
  <c r="AF99" i="22"/>
  <c r="AE67" i="22"/>
  <c r="AF60" i="22"/>
  <c r="BE157" i="22"/>
  <c r="BF157" i="22" s="1"/>
  <c r="AF66" i="22"/>
  <c r="BE156" i="22"/>
  <c r="BF156" i="22" s="1"/>
  <c r="AF64" i="22"/>
  <c r="AE12" i="22"/>
  <c r="AE78" i="22"/>
  <c r="AE68" i="22"/>
  <c r="AF52" i="22"/>
  <c r="AF41" i="22"/>
  <c r="AE91" i="22"/>
  <c r="AE77" i="22"/>
  <c r="BE158" i="22"/>
  <c r="BF158" i="22" s="1"/>
  <c r="AF78" i="22"/>
  <c r="AE70" i="22"/>
  <c r="AE72" i="22"/>
  <c r="AF15" i="22"/>
  <c r="AF27" i="22"/>
  <c r="AE64" i="22"/>
  <c r="AE36" i="22"/>
  <c r="AF36" i="22"/>
  <c r="AE95" i="22"/>
  <c r="AE19" i="22"/>
  <c r="AE75" i="22"/>
  <c r="AF96" i="22"/>
  <c r="AF72" i="22"/>
  <c r="AE99" i="22"/>
  <c r="AF68" i="22"/>
  <c r="AE49" i="22"/>
  <c r="AE43" i="22"/>
  <c r="AE86" i="22"/>
  <c r="AE24" i="22"/>
  <c r="AF20" i="22"/>
  <c r="AF77" i="22"/>
  <c r="AF69" i="22"/>
  <c r="AF82" i="22"/>
  <c r="AE100" i="22"/>
  <c r="AE96" i="22"/>
  <c r="AE62" i="22"/>
  <c r="AF22" i="22"/>
  <c r="AE93" i="22"/>
  <c r="AF32" i="22"/>
  <c r="AF19" i="22"/>
  <c r="AE6" i="22"/>
  <c r="AF26" i="22"/>
  <c r="AE52" i="22"/>
  <c r="AE54" i="22"/>
  <c r="AE84" i="22"/>
  <c r="AF61" i="22"/>
  <c r="AF31" i="22"/>
  <c r="AE21" i="22"/>
  <c r="AF6" i="22"/>
  <c r="AE87" i="22"/>
  <c r="AF73" i="22"/>
  <c r="AE63" i="22"/>
  <c r="AE76" i="22"/>
  <c r="AE35" i="22"/>
  <c r="AE33" i="22"/>
  <c r="AF79" i="22"/>
  <c r="AF8" i="22"/>
  <c r="AE37" i="22"/>
  <c r="AF9" i="22"/>
  <c r="AF42" i="22"/>
  <c r="AF88" i="22"/>
  <c r="AF13" i="22"/>
  <c r="AF67" i="22"/>
  <c r="AF56" i="22"/>
  <c r="AE97" i="22"/>
  <c r="AE92" i="22"/>
  <c r="AE32" i="22"/>
  <c r="AE56" i="22"/>
  <c r="AE51" i="22"/>
  <c r="AE88" i="22"/>
  <c r="AE20" i="22"/>
  <c r="AE57" i="22"/>
  <c r="AF101" i="22"/>
  <c r="AE34" i="22"/>
  <c r="AE102" i="22"/>
  <c r="AF57" i="22"/>
  <c r="AE44" i="22"/>
  <c r="AE81" i="22"/>
  <c r="AE48" i="22"/>
  <c r="AE42" i="22"/>
  <c r="AF70" i="22"/>
  <c r="AE25" i="22"/>
  <c r="AE73" i="22"/>
  <c r="BE5" i="22"/>
  <c r="AF18" i="22"/>
  <c r="AF62" i="22"/>
  <c r="AE29" i="22"/>
  <c r="AE58" i="22"/>
  <c r="AE18" i="22"/>
  <c r="AE40" i="22"/>
  <c r="AE15" i="22"/>
  <c r="AE59" i="22"/>
  <c r="AE61" i="22"/>
  <c r="AF40" i="22"/>
  <c r="AE41" i="22"/>
  <c r="AE23" i="22"/>
  <c r="AF35" i="22"/>
  <c r="AE17" i="22"/>
  <c r="AE27" i="22"/>
  <c r="AF92" i="22"/>
  <c r="AF90" i="22"/>
  <c r="AF74" i="22"/>
  <c r="AF75" i="22"/>
  <c r="AE9" i="22"/>
  <c r="AE79" i="22"/>
  <c r="AF89" i="22"/>
  <c r="AE26" i="22"/>
  <c r="AF85" i="22"/>
  <c r="AF65" i="22"/>
  <c r="AF93" i="22"/>
  <c r="AE90" i="22"/>
  <c r="AF95" i="22"/>
  <c r="AE45" i="22"/>
  <c r="AF21" i="22"/>
  <c r="AF11" i="22"/>
  <c r="AE50" i="22"/>
  <c r="AE53" i="22"/>
  <c r="AF29" i="22"/>
  <c r="AF46" i="22"/>
  <c r="AE71" i="22"/>
  <c r="AF5" i="22"/>
  <c r="AF24" i="22"/>
  <c r="AF23" i="22"/>
  <c r="AF16" i="22"/>
  <c r="AE89" i="22"/>
  <c r="AF94" i="22"/>
  <c r="AF48" i="22"/>
  <c r="AE13" i="22"/>
  <c r="AE47" i="22"/>
  <c r="AF50" i="22"/>
  <c r="AE101" i="22"/>
  <c r="AF84" i="22"/>
  <c r="AF53" i="22"/>
  <c r="AE22" i="22"/>
  <c r="AF54" i="22"/>
  <c r="AE8" i="22"/>
  <c r="AE14" i="22"/>
  <c r="AF44" i="22"/>
  <c r="AF87" i="22"/>
  <c r="AF39" i="22"/>
  <c r="AE65" i="22"/>
  <c r="R4" i="22"/>
  <c r="AF34" i="22"/>
  <c r="AF28" i="22"/>
  <c r="AF76" i="22"/>
  <c r="AE16" i="22"/>
  <c r="AE98" i="22"/>
  <c r="AE31" i="22"/>
  <c r="AF98" i="22"/>
  <c r="AF71" i="22"/>
  <c r="AE66" i="22"/>
  <c r="AF47" i="22"/>
  <c r="AF10" i="22"/>
  <c r="AE85" i="22"/>
  <c r="AE46" i="22"/>
  <c r="AF81" i="22"/>
  <c r="AF97" i="22"/>
  <c r="AF91" i="22"/>
  <c r="AF45" i="22"/>
  <c r="AE11" i="22"/>
  <c r="AF37" i="22"/>
  <c r="AE69" i="22"/>
  <c r="AE60" i="22"/>
  <c r="AF43" i="22"/>
  <c r="AF63" i="22"/>
  <c r="AF58" i="22"/>
  <c r="AF102" i="22"/>
  <c r="AE7" i="22"/>
  <c r="AE82" i="22"/>
  <c r="AF59" i="22"/>
  <c r="AE28" i="22"/>
  <c r="AE74" i="22"/>
  <c r="AF30" i="22"/>
  <c r="AE5" i="22"/>
  <c r="AF12" i="22"/>
  <c r="AF14" i="22"/>
  <c r="BF105" i="22" l="1"/>
  <c r="F108" i="72"/>
  <c r="G108" i="72" s="1"/>
  <c r="BB79" i="22"/>
  <c r="BE79" i="22" s="1"/>
  <c r="AF4" i="22"/>
  <c r="F146" i="72"/>
  <c r="D23" i="72"/>
  <c r="D140" i="72"/>
  <c r="D25" i="72"/>
  <c r="D20" i="72"/>
  <c r="D15" i="72"/>
  <c r="BF87" i="22"/>
  <c r="E25" i="104"/>
  <c r="E26" i="104" s="1"/>
  <c r="BE88" i="22"/>
  <c r="BE85" i="22"/>
  <c r="D141" i="72"/>
  <c r="D22" i="72"/>
  <c r="D18" i="72"/>
  <c r="D16" i="72"/>
  <c r="F139" i="72"/>
  <c r="F137" i="72"/>
  <c r="F132" i="72"/>
  <c r="BE84" i="22"/>
  <c r="BE83" i="22"/>
  <c r="F92" i="72" s="1"/>
  <c r="BE86" i="22"/>
  <c r="D143" i="72"/>
  <c r="D14" i="72"/>
  <c r="D19" i="72"/>
  <c r="D26" i="72"/>
  <c r="BF61" i="22"/>
  <c r="BE118" i="22"/>
  <c r="D130" i="72"/>
  <c r="BE150" i="22"/>
  <c r="D144" i="72"/>
  <c r="BE18" i="22"/>
  <c r="F133" i="72"/>
  <c r="BE126" i="22"/>
  <c r="BF131" i="22"/>
  <c r="BF125" i="22"/>
  <c r="BF52" i="22"/>
  <c r="F62" i="72"/>
  <c r="BE7" i="22"/>
  <c r="BE8" i="22"/>
  <c r="BE6" i="22"/>
  <c r="BE17" i="22"/>
  <c r="BE10" i="22"/>
  <c r="BE12" i="22"/>
  <c r="BE11" i="22"/>
  <c r="BE14" i="22"/>
  <c r="BE19" i="22"/>
  <c r="D27" i="72"/>
  <c r="BE16" i="22"/>
  <c r="D24" i="72"/>
  <c r="BF5" i="22"/>
  <c r="F13" i="72"/>
  <c r="BE15" i="22"/>
  <c r="BF121" i="22"/>
  <c r="BF93" i="22"/>
  <c r="F103" i="72"/>
  <c r="BF124" i="22"/>
  <c r="BF81" i="22"/>
  <c r="F90" i="72"/>
  <c r="BE82" i="22"/>
  <c r="D91" i="72"/>
  <c r="BF120" i="22"/>
  <c r="D92" i="72"/>
  <c r="AZ59" i="22"/>
  <c r="AN11" i="22"/>
  <c r="F46" i="36" s="1"/>
  <c r="F66" i="36"/>
  <c r="H66" i="36" s="1"/>
  <c r="AP4" i="22"/>
  <c r="E78" i="36"/>
  <c r="AO4" i="22"/>
  <c r="R100" i="22"/>
  <c r="BB59" i="22" s="1"/>
  <c r="D58" i="72"/>
  <c r="BE50" i="22"/>
  <c r="BE149" i="22"/>
  <c r="BE90" i="22"/>
  <c r="F99" i="72" s="1"/>
  <c r="D56" i="72"/>
  <c r="BE46" i="22"/>
  <c r="D53" i="72"/>
  <c r="BE43" i="22"/>
  <c r="D50" i="72"/>
  <c r="BE40" i="22"/>
  <c r="BE115" i="22"/>
  <c r="D70" i="72"/>
  <c r="BE127" i="22"/>
  <c r="BE130" i="22"/>
  <c r="D64" i="72"/>
  <c r="BE54" i="22"/>
  <c r="BE117" i="22"/>
  <c r="D51" i="72"/>
  <c r="BE41" i="22"/>
  <c r="D66" i="72"/>
  <c r="BE57" i="22"/>
  <c r="D101" i="72"/>
  <c r="BE91" i="22"/>
  <c r="D47" i="72"/>
  <c r="BE36" i="22"/>
  <c r="D94" i="72"/>
  <c r="F58" i="72"/>
  <c r="BF48" i="22"/>
  <c r="D96" i="72"/>
  <c r="D57" i="72"/>
  <c r="BE47" i="22"/>
  <c r="D55" i="72"/>
  <c r="BE45" i="22"/>
  <c r="D106" i="72"/>
  <c r="BE96" i="22"/>
  <c r="D107" i="72"/>
  <c r="BE97" i="22"/>
  <c r="BE119" i="22"/>
  <c r="D111" i="72"/>
  <c r="BE99" i="22"/>
  <c r="D48" i="72"/>
  <c r="BE37" i="22"/>
  <c r="D105" i="72"/>
  <c r="BE95" i="22"/>
  <c r="D61" i="72"/>
  <c r="BE51" i="22"/>
  <c r="D104" i="72"/>
  <c r="BE94" i="22"/>
  <c r="D41" i="72"/>
  <c r="BE30" i="22"/>
  <c r="E37" i="104" s="1"/>
  <c r="D112" i="72"/>
  <c r="BE100" i="22"/>
  <c r="BE123" i="22"/>
  <c r="D63" i="72"/>
  <c r="BE53" i="22"/>
  <c r="D59" i="72"/>
  <c r="BE49" i="22"/>
  <c r="AE4" i="22"/>
  <c r="D65" i="72"/>
  <c r="BE56" i="22"/>
  <c r="D52" i="72"/>
  <c r="BE42" i="22"/>
  <c r="D93" i="72"/>
  <c r="D110" i="72"/>
  <c r="BE98" i="22"/>
  <c r="BE132" i="22"/>
  <c r="D67" i="72"/>
  <c r="BE58" i="22"/>
  <c r="BE137" i="22"/>
  <c r="D46" i="72"/>
  <c r="BE35" i="22"/>
  <c r="D44" i="72"/>
  <c r="BE33" i="22"/>
  <c r="D54" i="72"/>
  <c r="BE44" i="22"/>
  <c r="BE114" i="22"/>
  <c r="BE116" i="22"/>
  <c r="D69" i="72"/>
  <c r="BE60" i="22"/>
  <c r="D97" i="72"/>
  <c r="D49" i="72"/>
  <c r="BE39" i="22"/>
  <c r="BE135" i="22"/>
  <c r="BE138" i="22"/>
  <c r="D42" i="72"/>
  <c r="BE31" i="22"/>
  <c r="D95" i="72"/>
  <c r="D98" i="72"/>
  <c r="BE89" i="22"/>
  <c r="BE122" i="22"/>
  <c r="BE129" i="22"/>
  <c r="BE136" i="22"/>
  <c r="BE128" i="22"/>
  <c r="D43" i="72"/>
  <c r="BE32" i="22"/>
  <c r="D102" i="72"/>
  <c r="BE92" i="22"/>
  <c r="AF51" i="22"/>
  <c r="AF49" i="22"/>
  <c r="G37" i="104" l="1"/>
  <c r="C26" i="104"/>
  <c r="F126" i="72"/>
  <c r="F135" i="72"/>
  <c r="F143" i="72"/>
  <c r="F134" i="72"/>
  <c r="F147" i="72"/>
  <c r="F127" i="72"/>
  <c r="BF79" i="22"/>
  <c r="F142" i="72"/>
  <c r="F128" i="72"/>
  <c r="F150" i="72"/>
  <c r="F131" i="72"/>
  <c r="F145" i="72"/>
  <c r="F162" i="72"/>
  <c r="BF12" i="22"/>
  <c r="BF8" i="22"/>
  <c r="BF18" i="22"/>
  <c r="F129" i="72"/>
  <c r="F141" i="72"/>
  <c r="G13" i="72"/>
  <c r="BF10" i="22"/>
  <c r="F15" i="72"/>
  <c r="BF86" i="22"/>
  <c r="BF84" i="22"/>
  <c r="BF85" i="22"/>
  <c r="BF14" i="22"/>
  <c r="BF17" i="22"/>
  <c r="F140" i="72"/>
  <c r="F149" i="72"/>
  <c r="F151" i="72"/>
  <c r="F148" i="72"/>
  <c r="G58" i="72"/>
  <c r="BF50" i="22"/>
  <c r="F23" i="72"/>
  <c r="F19" i="72"/>
  <c r="F14" i="72"/>
  <c r="G62" i="72"/>
  <c r="BF83" i="22"/>
  <c r="BF88" i="22"/>
  <c r="BF118" i="22"/>
  <c r="F130" i="72"/>
  <c r="BF150" i="22"/>
  <c r="F144" i="72"/>
  <c r="BF7" i="22"/>
  <c r="F26" i="72"/>
  <c r="BF126" i="22"/>
  <c r="F16" i="72"/>
  <c r="F25" i="72"/>
  <c r="BF6" i="22"/>
  <c r="BF11" i="22"/>
  <c r="F22" i="72"/>
  <c r="F18" i="72"/>
  <c r="F20" i="72"/>
  <c r="BF19" i="22"/>
  <c r="F27" i="72"/>
  <c r="BF16" i="22"/>
  <c r="F24" i="72"/>
  <c r="BF15" i="22"/>
  <c r="BF82" i="22"/>
  <c r="F91" i="72"/>
  <c r="F78" i="36"/>
  <c r="AP11" i="22"/>
  <c r="AF100" i="22"/>
  <c r="F60" i="72"/>
  <c r="F102" i="72"/>
  <c r="BF92" i="22"/>
  <c r="BF136" i="22"/>
  <c r="BF122" i="22"/>
  <c r="F95" i="72"/>
  <c r="BF138" i="22"/>
  <c r="BF39" i="22"/>
  <c r="F49" i="72"/>
  <c r="BF116" i="22"/>
  <c r="F46" i="72"/>
  <c r="BF35" i="22"/>
  <c r="BF137" i="22"/>
  <c r="BF132" i="22"/>
  <c r="F110" i="72"/>
  <c r="BF98" i="22"/>
  <c r="F52" i="72"/>
  <c r="BF42" i="22"/>
  <c r="BF49" i="22"/>
  <c r="F59" i="72"/>
  <c r="BF123" i="22"/>
  <c r="BF100" i="22"/>
  <c r="F112" i="72"/>
  <c r="BF94" i="22"/>
  <c r="F104" i="72"/>
  <c r="G103" i="72" s="1"/>
  <c r="BF95" i="22"/>
  <c r="F105" i="72"/>
  <c r="G105" i="72" s="1"/>
  <c r="BF99" i="22"/>
  <c r="F111" i="72"/>
  <c r="F107" i="72"/>
  <c r="BF97" i="22"/>
  <c r="F94" i="72"/>
  <c r="BF91" i="22"/>
  <c r="F101" i="72"/>
  <c r="BF57" i="22"/>
  <c r="F66" i="72"/>
  <c r="BF117" i="22"/>
  <c r="BF130" i="22"/>
  <c r="G70" i="72"/>
  <c r="F70" i="72"/>
  <c r="BF40" i="22"/>
  <c r="F50" i="72"/>
  <c r="F53" i="72"/>
  <c r="BF43" i="22"/>
  <c r="D89" i="72"/>
  <c r="D116" i="72" s="1"/>
  <c r="F43" i="72"/>
  <c r="BF32" i="22"/>
  <c r="BF128" i="22"/>
  <c r="BF129" i="22"/>
  <c r="F98" i="72"/>
  <c r="BF89" i="22"/>
  <c r="BF31" i="22"/>
  <c r="F42" i="72"/>
  <c r="BF135" i="22"/>
  <c r="F97" i="72"/>
  <c r="BF60" i="22"/>
  <c r="F69" i="72"/>
  <c r="BF114" i="22"/>
  <c r="BF44" i="22"/>
  <c r="F54" i="72"/>
  <c r="BF33" i="22"/>
  <c r="F44" i="72"/>
  <c r="F67" i="72"/>
  <c r="BF58" i="22"/>
  <c r="F93" i="72"/>
  <c r="BF56" i="22"/>
  <c r="F65" i="72"/>
  <c r="F63" i="72"/>
  <c r="BF53" i="22"/>
  <c r="F41" i="72"/>
  <c r="BF30" i="22"/>
  <c r="F61" i="72"/>
  <c r="BF51" i="22"/>
  <c r="BF37" i="22"/>
  <c r="F48" i="72"/>
  <c r="BF119" i="22"/>
  <c r="F106" i="72"/>
  <c r="BF96" i="22"/>
  <c r="BF45" i="22"/>
  <c r="F55" i="72"/>
  <c r="F57" i="72"/>
  <c r="BF47" i="22"/>
  <c r="F96" i="72"/>
  <c r="F47" i="72"/>
  <c r="BF36" i="22"/>
  <c r="BF41" i="22"/>
  <c r="F51" i="72"/>
  <c r="BF54" i="22"/>
  <c r="F64" i="72"/>
  <c r="BF127" i="22"/>
  <c r="BF115" i="22"/>
  <c r="BF46" i="22"/>
  <c r="F56" i="72"/>
  <c r="BF90" i="22"/>
  <c r="BF149" i="22"/>
  <c r="G110" i="72" l="1"/>
  <c r="G96" i="72"/>
  <c r="G106" i="72"/>
  <c r="G25" i="104"/>
  <c r="G57" i="72"/>
  <c r="G48" i="72"/>
  <c r="G65" i="72"/>
  <c r="G52" i="72"/>
  <c r="G14" i="72"/>
  <c r="G26" i="72"/>
  <c r="G20" i="72"/>
  <c r="G55" i="72"/>
  <c r="G50" i="72"/>
  <c r="G24" i="72"/>
  <c r="G15" i="72"/>
  <c r="G22" i="72"/>
  <c r="G41" i="72"/>
  <c r="G54" i="72"/>
  <c r="G43" i="72"/>
  <c r="G66" i="72"/>
  <c r="G59" i="72"/>
  <c r="G51" i="72"/>
  <c r="G47" i="72"/>
  <c r="G61" i="72"/>
  <c r="G63" i="72"/>
  <c r="G44" i="72"/>
  <c r="G56" i="72"/>
  <c r="G64" i="72"/>
  <c r="G67" i="72"/>
  <c r="G69" i="72"/>
  <c r="G42" i="72"/>
  <c r="G53" i="72"/>
  <c r="G46" i="72"/>
  <c r="G49" i="72"/>
  <c r="G16" i="72"/>
  <c r="G23" i="72"/>
  <c r="G27" i="72"/>
  <c r="G19" i="72"/>
  <c r="G60" i="72"/>
  <c r="G25" i="72"/>
  <c r="G18" i="72"/>
  <c r="G93" i="72"/>
  <c r="D68" i="72"/>
  <c r="BE59" i="22"/>
  <c r="F89" i="72"/>
  <c r="G89" i="72" s="1"/>
  <c r="J89" i="72" l="1"/>
  <c r="J88" i="72"/>
  <c r="BF59" i="22"/>
  <c r="F68" i="72"/>
  <c r="F116" i="72"/>
  <c r="G68" i="72" l="1"/>
  <c r="AF93" i="11" l="1"/>
  <c r="G83" i="22"/>
  <c r="O83" i="22" s="1"/>
  <c r="AY13" i="22" s="1"/>
  <c r="AC93" i="11"/>
  <c r="H83" i="22"/>
  <c r="D31" i="36" l="1"/>
  <c r="AY9" i="22"/>
  <c r="P83" i="22"/>
  <c r="F65" i="36"/>
  <c r="AK11" i="11" a="1"/>
  <c r="AK11" i="11" s="1"/>
  <c r="AQ93" i="11" l="1"/>
  <c r="AQ259" i="11" s="1"/>
  <c r="J25" i="22"/>
  <c r="AX34" i="22" s="1"/>
  <c r="AZ13" i="22"/>
  <c r="N83" i="32"/>
  <c r="D22" i="36"/>
  <c r="AZ9" i="22"/>
  <c r="AN10" i="22"/>
  <c r="F45" i="36" s="1"/>
  <c r="AM10" i="22"/>
  <c r="E45" i="36" s="1"/>
  <c r="E65" i="36"/>
  <c r="G65" i="36" s="1"/>
  <c r="AK12" i="11" a="1"/>
  <c r="AK12" i="11" s="1"/>
  <c r="AK13" i="11" s="1" a="1"/>
  <c r="AK13" i="11" s="1"/>
  <c r="AK14" i="11" s="1" a="1"/>
  <c r="AK14" i="11" s="1"/>
  <c r="Q83" i="22"/>
  <c r="I83" i="22"/>
  <c r="BG13" i="22" s="1"/>
  <c r="G5" i="72" l="1"/>
  <c r="H8" i="73"/>
  <c r="BA9" i="22"/>
  <c r="BA13" i="22"/>
  <c r="AL5" i="22"/>
  <c r="R25" i="22"/>
  <c r="AO10" i="22"/>
  <c r="AK15" i="11" a="1"/>
  <c r="AK15" i="11" s="1"/>
  <c r="AK16" i="11" s="1" a="1"/>
  <c r="AK16" i="11" s="1"/>
  <c r="BG9" i="22"/>
  <c r="J83" i="22"/>
  <c r="AX13" i="22" s="1"/>
  <c r="AE83" i="22"/>
  <c r="H16" i="73" l="1"/>
  <c r="H37" i="73" s="1"/>
  <c r="J16" i="73"/>
  <c r="K16" i="73" s="1"/>
  <c r="H47" i="73"/>
  <c r="H51" i="73" s="1"/>
  <c r="J51" i="73" s="1"/>
  <c r="E61" i="73"/>
  <c r="F61" i="73" s="1"/>
  <c r="H61" i="73" s="1"/>
  <c r="BB34" i="22"/>
  <c r="AP5" i="22"/>
  <c r="AF25" i="22"/>
  <c r="AL10" i="22"/>
  <c r="D65" i="36"/>
  <c r="H65" i="36" s="1"/>
  <c r="AK17" i="11" a="1"/>
  <c r="AK17" i="11" s="1"/>
  <c r="AK18" i="11" s="1" a="1"/>
  <c r="AK18" i="11" s="1"/>
  <c r="R83" i="22"/>
  <c r="H14" i="36" l="1"/>
  <c r="C38" i="104"/>
  <c r="C15" i="104"/>
  <c r="T3" i="50"/>
  <c r="L3" i="71"/>
  <c r="M3" i="59"/>
  <c r="K3" i="46"/>
  <c r="T3" i="32"/>
  <c r="L3" i="11"/>
  <c r="H10" i="36"/>
  <c r="BB9" i="22"/>
  <c r="BB13" i="22"/>
  <c r="BE34" i="22"/>
  <c r="D45" i="72"/>
  <c r="D83" i="72" s="1"/>
  <c r="AP10" i="22"/>
  <c r="AK19" i="11" a="1"/>
  <c r="AK19" i="11" s="1"/>
  <c r="AK20" i="11" s="1" a="1"/>
  <c r="AK20" i="11" s="1"/>
  <c r="AF83" i="22"/>
  <c r="J61" i="73" l="1"/>
  <c r="E38" i="104"/>
  <c r="H32" i="104" s="1"/>
  <c r="H33" i="104" s="1"/>
  <c r="D17" i="72"/>
  <c r="T4" i="32"/>
  <c r="T4" i="50"/>
  <c r="K4" i="46"/>
  <c r="M4" i="59"/>
  <c r="L4" i="11"/>
  <c r="L4" i="71"/>
  <c r="BE9" i="22"/>
  <c r="D21" i="72"/>
  <c r="BE13" i="22"/>
  <c r="BF34" i="22"/>
  <c r="F45" i="72"/>
  <c r="J40" i="72" s="1"/>
  <c r="AK21" i="11" a="1"/>
  <c r="AK21" i="11" s="1"/>
  <c r="D33" i="72" l="1"/>
  <c r="E15" i="104"/>
  <c r="BF9" i="22"/>
  <c r="G45" i="72"/>
  <c r="G83" i="72" s="1"/>
  <c r="J41" i="72" s="1"/>
  <c r="F83" i="72"/>
  <c r="F17" i="72"/>
  <c r="BF13" i="22"/>
  <c r="F21" i="72"/>
  <c r="AK22" i="11" a="1"/>
  <c r="AK22" i="11" s="1"/>
  <c r="G7" i="104" l="1"/>
  <c r="J12" i="72"/>
  <c r="J90" i="72" s="1"/>
  <c r="J91" i="72" s="1"/>
  <c r="G21" i="72"/>
  <c r="G17" i="72"/>
  <c r="G6" i="72"/>
  <c r="F33" i="72"/>
  <c r="AK23" i="11" a="1"/>
  <c r="AK23" i="11" s="1"/>
  <c r="G7" i="72" l="1"/>
  <c r="G33" i="72"/>
  <c r="I13" i="72" s="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8" i="36" s="1"/>
  <c r="D48" i="36"/>
  <c r="C41" i="36"/>
  <c r="C80" i="36" s="1"/>
  <c r="D39" i="36"/>
  <c r="C48" i="36"/>
  <c r="C87" i="36" s="1"/>
  <c r="C45" i="36"/>
  <c r="C84" i="36" s="1"/>
  <c r="D46" i="36"/>
  <c r="D85" i="36" s="1"/>
  <c r="D42" i="36"/>
  <c r="D47" i="36"/>
  <c r="C43" i="36"/>
  <c r="C82" i="36" s="1"/>
  <c r="C46" i="36"/>
  <c r="C85" i="36" s="1"/>
  <c r="C50" i="36"/>
  <c r="C89" i="36" s="1"/>
  <c r="C47" i="36"/>
  <c r="C86" i="36" s="1"/>
  <c r="C44" i="36"/>
  <c r="C83" i="36" s="1"/>
  <c r="D49" i="36"/>
  <c r="C42" i="36"/>
  <c r="C81" i="36" s="1"/>
  <c r="C39" i="36"/>
  <c r="D44" i="36"/>
  <c r="D43" i="36"/>
  <c r="D50" i="36"/>
  <c r="D89" i="36" s="1"/>
  <c r="D41" i="36"/>
  <c r="C40" i="36"/>
  <c r="C79" i="36" s="1"/>
  <c r="D40" i="36"/>
  <c r="D45" i="36"/>
  <c r="C78" i="36" l="1"/>
  <c r="G39" i="36"/>
  <c r="F81" i="36"/>
  <c r="H42" i="36"/>
  <c r="F88" i="36"/>
  <c r="H49" i="36"/>
  <c r="G44" i="36"/>
  <c r="E83" i="36"/>
  <c r="D86" i="36"/>
  <c r="F84" i="36"/>
  <c r="H45" i="36"/>
  <c r="E82" i="36"/>
  <c r="G43" i="36"/>
  <c r="H48" i="36"/>
  <c r="F87" i="36"/>
  <c r="D87" i="36"/>
  <c r="D84" i="36"/>
  <c r="E84" i="36"/>
  <c r="G45" i="36"/>
  <c r="D82" i="36"/>
  <c r="E89" i="36"/>
  <c r="G50" i="36"/>
  <c r="H43" i="36"/>
  <c r="F82" i="36"/>
  <c r="E85" i="36"/>
  <c r="G46" i="36"/>
  <c r="F86" i="36"/>
  <c r="H47" i="36"/>
  <c r="D79" i="36"/>
  <c r="D80" i="36"/>
  <c r="F80" i="36"/>
  <c r="H41" i="36"/>
  <c r="D83" i="36"/>
  <c r="D88" i="36"/>
  <c r="H44" i="36"/>
  <c r="F83" i="36"/>
  <c r="F85" i="36"/>
  <c r="H46" i="36"/>
  <c r="E81" i="36"/>
  <c r="G42" i="36"/>
  <c r="E86" i="36"/>
  <c r="G47" i="36"/>
  <c r="F89" i="36"/>
  <c r="H50" i="36"/>
  <c r="H40" i="36"/>
  <c r="F79" i="36"/>
  <c r="G40" i="36"/>
  <c r="E79" i="36"/>
  <c r="D81" i="36"/>
  <c r="D78" i="36"/>
  <c r="H39" i="36"/>
  <c r="E80" i="36"/>
  <c r="G41" i="36"/>
  <c r="E88" i="36"/>
  <c r="G49" i="36"/>
  <c r="G48" i="36"/>
  <c r="E87" i="36"/>
  <c r="H78" i="36" l="1"/>
  <c r="H84" i="36"/>
  <c r="G83" i="36"/>
  <c r="G87" i="36"/>
  <c r="G81" i="36"/>
  <c r="H86" i="36"/>
  <c r="H81" i="36"/>
  <c r="G79" i="36"/>
  <c r="G86" i="36"/>
  <c r="G85" i="36"/>
  <c r="G89" i="36"/>
  <c r="H87" i="36"/>
  <c r="H88" i="36"/>
  <c r="G78" i="36"/>
  <c r="H89" i="36"/>
  <c r="H80" i="36"/>
  <c r="G88" i="36"/>
  <c r="H83" i="36"/>
  <c r="H82" i="36"/>
  <c r="H85" i="36"/>
  <c r="G80" i="36"/>
  <c r="H79" i="36"/>
  <c r="G82" i="36"/>
  <c r="G84" i="36"/>
  <c r="B125" i="72" l="1"/>
  <c r="BA113" i="22"/>
  <c r="BC113" i="22"/>
  <c r="AY113" i="22"/>
  <c r="AW113" i="22"/>
  <c r="AZ113" i="22"/>
  <c r="BD113" i="22"/>
  <c r="BB113" i="22"/>
  <c r="E125" i="72" l="1"/>
  <c r="D125" i="72"/>
  <c r="D163" i="72" s="1"/>
  <c r="C48" i="104"/>
  <c r="BE113" i="22"/>
  <c r="BF113" i="22" l="1"/>
  <c r="E48" i="104"/>
  <c r="F125" i="72"/>
  <c r="F163" i="72" s="1"/>
  <c r="J125" i="72" s="1"/>
  <c r="J126" i="72" s="1"/>
  <c r="H172" i="22"/>
  <c r="H173" i="22"/>
  <c r="G174" i="22"/>
  <c r="H176" i="22"/>
  <c r="G176" i="22"/>
  <c r="G173" i="22"/>
  <c r="G172" i="22"/>
  <c r="G175" i="22"/>
  <c r="F173" i="22"/>
  <c r="D164" i="36" s="1"/>
  <c r="D204" i="36" s="1"/>
  <c r="AJ14" i="63"/>
  <c r="AO10" i="63" s="1" a="1"/>
  <c r="AO10" i="63" s="1"/>
  <c r="AI14" i="63"/>
  <c r="AN10" i="63" s="1" a="1"/>
  <c r="AN10" i="63" s="1"/>
  <c r="F14" i="63"/>
  <c r="E172" i="22"/>
  <c r="C163" i="36" s="1"/>
  <c r="C203" i="36" s="1"/>
  <c r="E176" i="22"/>
  <c r="C167" i="36" s="1"/>
  <c r="C207" i="36" s="1"/>
  <c r="E173" i="22"/>
  <c r="C164" i="36" s="1"/>
  <c r="C204" i="36" s="1"/>
  <c r="E175" i="22"/>
  <c r="C166" i="36" s="1"/>
  <c r="C206" i="36" s="1"/>
  <c r="E174" i="22"/>
  <c r="C165" i="36" s="1"/>
  <c r="C205" i="36" s="1"/>
  <c r="J172" i="22"/>
  <c r="J173" i="22"/>
  <c r="F172" i="22"/>
  <c r="D163" i="36" s="1"/>
  <c r="J176" i="22"/>
  <c r="F176" i="22"/>
  <c r="D167" i="36" s="1"/>
  <c r="D207" i="36" s="1"/>
  <c r="I172" i="22"/>
  <c r="Q14" i="63"/>
  <c r="I175" i="22"/>
  <c r="AQ14" i="63"/>
  <c r="I173" i="22"/>
  <c r="I174" i="22"/>
  <c r="I176" i="22"/>
  <c r="H43" i="104" l="1"/>
  <c r="H44" i="104" s="1"/>
  <c r="AE14" i="63"/>
  <c r="AD14" i="63"/>
  <c r="G8" i="72"/>
  <c r="K168" i="36"/>
  <c r="K166" i="36"/>
  <c r="AN11" i="63" a="1"/>
  <c r="AN11" i="63" s="1"/>
  <c r="B12" i="65"/>
  <c r="AO11" i="63" a="1"/>
  <c r="AO11" i="63" s="1"/>
  <c r="B13" i="65" s="1"/>
  <c r="K170" i="36"/>
  <c r="K164" i="36"/>
  <c r="G14" i="63"/>
  <c r="AZ258" i="67" l="1" a="1"/>
  <c r="AZ258" i="67" s="1"/>
  <c r="L26" i="73" s="1"/>
  <c r="Y258" i="67" a="1"/>
  <c r="Y258" i="67" s="1"/>
  <c r="G8" i="104"/>
  <c r="M5" i="59" a="1"/>
  <c r="M5" i="59" s="1"/>
  <c r="T5" i="50" a="1"/>
  <c r="T5" i="50" s="1"/>
  <c r="L5" i="71" a="1"/>
  <c r="L5" i="71" s="1"/>
  <c r="L5" i="11" a="1"/>
  <c r="L5" i="11" s="1"/>
  <c r="T5" i="32" a="1"/>
  <c r="T5" i="32" s="1"/>
  <c r="K5" i="46" a="1"/>
  <c r="K5" i="46" s="1"/>
  <c r="X258" i="67"/>
  <c r="AA258" i="67"/>
  <c r="W258" i="67"/>
  <c r="E258" i="67"/>
  <c r="Z258" i="67" a="1"/>
  <c r="Z258" i="67" s="1"/>
  <c r="E258" i="63"/>
  <c r="U258" i="63"/>
  <c r="R258" i="63"/>
  <c r="X258" i="63"/>
  <c r="T258" i="63"/>
  <c r="L164" i="36"/>
  <c r="V14" i="63"/>
  <c r="H174" i="22" s="1"/>
  <c r="F174" i="22"/>
  <c r="D165" i="36" s="1"/>
  <c r="D205" i="36" s="1"/>
  <c r="W14" i="63"/>
  <c r="L170" i="36"/>
  <c r="L166" i="36"/>
  <c r="L168" i="36"/>
  <c r="AO12" i="63" a="1"/>
  <c r="AO12" i="63" s="1"/>
  <c r="B14" i="65" s="1"/>
  <c r="L14" i="65" s="1"/>
  <c r="M14" i="65" s="1"/>
  <c r="C12" i="65"/>
  <c r="L12" i="65"/>
  <c r="M12" i="65" s="1"/>
  <c r="AN12" i="63" a="1"/>
  <c r="AN12" i="63" s="1"/>
  <c r="AN13" i="63" s="1" a="1"/>
  <c r="AN13" i="63" s="1"/>
  <c r="L13" i="65"/>
  <c r="M13" i="65" s="1"/>
  <c r="C13" i="65"/>
  <c r="I5" i="55" l="1" a="1"/>
  <c r="I5" i="55" s="1"/>
  <c r="O5" i="53" a="1"/>
  <c r="O5" i="53" s="1"/>
  <c r="M5" i="58" a="1"/>
  <c r="M5" i="58" s="1"/>
  <c r="J5" i="52" a="1"/>
  <c r="J5" i="52" s="1"/>
  <c r="O5" i="57" a="1"/>
  <c r="O5" i="57" s="1"/>
  <c r="I5" i="42" a="1"/>
  <c r="I5" i="42" s="1"/>
  <c r="H30" i="36"/>
  <c r="N13" i="65"/>
  <c r="U13" i="65" s="1"/>
  <c r="N12" i="65"/>
  <c r="H27" i="36"/>
  <c r="W258" i="63" a="1"/>
  <c r="W258" i="63" s="1"/>
  <c r="H28" i="36" s="1"/>
  <c r="V258" i="63" a="1"/>
  <c r="V258" i="63" s="1"/>
  <c r="H24" i="36"/>
  <c r="H26" i="73"/>
  <c r="H21" i="36"/>
  <c r="J175" i="22"/>
  <c r="J174" i="22"/>
  <c r="F175" i="22"/>
  <c r="D166" i="36" s="1"/>
  <c r="D206" i="36" s="1"/>
  <c r="H175" i="22"/>
  <c r="C14" i="65"/>
  <c r="AO13" i="63" a="1"/>
  <c r="AO13" i="63" s="1"/>
  <c r="B15" i="65" s="1"/>
  <c r="AN14" i="63" a="1"/>
  <c r="AN14" i="63" s="1"/>
  <c r="D13" i="65"/>
  <c r="E13" i="65" s="1"/>
  <c r="F13" i="65" s="1"/>
  <c r="G13" i="65" s="1"/>
  <c r="H13" i="65" s="1"/>
  <c r="I13" i="65" s="1"/>
  <c r="J13" i="65" s="1"/>
  <c r="K13" i="65" s="1"/>
  <c r="D12" i="65"/>
  <c r="E12" i="65" s="1"/>
  <c r="F12" i="65" s="1"/>
  <c r="G12" i="65" s="1"/>
  <c r="H12" i="65" s="1"/>
  <c r="I12" i="65" s="1"/>
  <c r="J12" i="65" s="1"/>
  <c r="K12" i="65" s="1"/>
  <c r="N14" i="65" l="1"/>
  <c r="P14" i="65"/>
  <c r="Y258" i="63"/>
  <c r="D14" i="65"/>
  <c r="E14" i="65" s="1"/>
  <c r="F14" i="65" s="1"/>
  <c r="G14" i="65" s="1"/>
  <c r="H14" i="65" s="1"/>
  <c r="I14" i="65" s="1"/>
  <c r="J14" i="65" s="1"/>
  <c r="K14" i="65" s="1"/>
  <c r="H25" i="36"/>
  <c r="H10" i="73"/>
  <c r="E63" i="73" s="1"/>
  <c r="F63" i="73" s="1"/>
  <c r="AO14" i="63" a="1"/>
  <c r="AO14" i="63" s="1"/>
  <c r="AO15" i="63" s="1" a="1"/>
  <c r="AO15" i="63" s="1"/>
  <c r="Q13" i="65"/>
  <c r="AV13" i="65"/>
  <c r="R13" i="65"/>
  <c r="S13" i="65" s="1"/>
  <c r="O13" i="65" s="1"/>
  <c r="P13" i="65" s="1"/>
  <c r="AE13" i="65"/>
  <c r="AH13" i="65" s="1"/>
  <c r="R12" i="65"/>
  <c r="S12" i="65" s="1"/>
  <c r="O12" i="65" s="1"/>
  <c r="Q12" i="65"/>
  <c r="AE12" i="65"/>
  <c r="AH12" i="65" s="1"/>
  <c r="U12" i="65"/>
  <c r="AV12" i="65"/>
  <c r="AN15" i="63" a="1"/>
  <c r="AN15" i="63" s="1"/>
  <c r="AN16" i="63" s="1" a="1"/>
  <c r="AN16" i="63" s="1"/>
  <c r="C15" i="65"/>
  <c r="L15" i="65"/>
  <c r="M15" i="65" s="1"/>
  <c r="P12" i="65" l="1"/>
  <c r="N15" i="65"/>
  <c r="U15" i="65" s="1"/>
  <c r="P15" i="65"/>
  <c r="AE14" i="65"/>
  <c r="AH14" i="65" s="1"/>
  <c r="U14" i="65"/>
  <c r="AV14" i="65"/>
  <c r="R14" i="65"/>
  <c r="S14" i="65" s="1"/>
  <c r="O14" i="65" s="1"/>
  <c r="Q14" i="65"/>
  <c r="B16" i="65"/>
  <c r="L16" i="65" s="1"/>
  <c r="M16" i="65" s="1"/>
  <c r="AO16" i="63" a="1"/>
  <c r="AO16" i="63" s="1"/>
  <c r="AN17" i="63" a="1"/>
  <c r="AN17" i="63" s="1"/>
  <c r="D15" i="65"/>
  <c r="E15" i="65" s="1"/>
  <c r="F15" i="65" s="1"/>
  <c r="G15" i="65" s="1"/>
  <c r="H15" i="65" s="1"/>
  <c r="I15" i="65" s="1"/>
  <c r="J15" i="65" s="1"/>
  <c r="K15" i="65" s="1"/>
  <c r="B17" i="65"/>
  <c r="Y13" i="65" l="1"/>
  <c r="AB13" i="65" s="1"/>
  <c r="AC13" i="65" s="1"/>
  <c r="AD13" i="65" s="1"/>
  <c r="AM13" i="65" s="1"/>
  <c r="Y12" i="65"/>
  <c r="AB12" i="65" s="1"/>
  <c r="AC12" i="65" s="1"/>
  <c r="C16" i="65"/>
  <c r="AO17" i="63" a="1"/>
  <c r="AO17" i="63" s="1"/>
  <c r="B19" i="65" s="1"/>
  <c r="C19" i="65" s="1"/>
  <c r="AN18" i="63" a="1"/>
  <c r="AN18" i="63" s="1"/>
  <c r="AN19" i="63" s="1" a="1"/>
  <c r="AN19" i="63" s="1"/>
  <c r="AE15" i="65"/>
  <c r="AH15" i="65" s="1"/>
  <c r="Q15" i="65"/>
  <c r="R15" i="65"/>
  <c r="S15" i="65" s="1"/>
  <c r="O15" i="65" s="1"/>
  <c r="Y15" i="65" s="1"/>
  <c r="AV15" i="65"/>
  <c r="B18" i="65"/>
  <c r="C17" i="65"/>
  <c r="L17" i="65"/>
  <c r="M17" i="65" s="1"/>
  <c r="N19" i="65" l="1"/>
  <c r="U19" i="65" s="1"/>
  <c r="P19" i="65"/>
  <c r="N17" i="65"/>
  <c r="U17" i="65" s="1"/>
  <c r="P17" i="65"/>
  <c r="N16" i="65"/>
  <c r="U16" i="65" s="1"/>
  <c r="P16" i="65"/>
  <c r="Y14" i="65"/>
  <c r="AB14" i="65" s="1"/>
  <c r="AC14" i="65" s="1"/>
  <c r="AD14" i="65" s="1"/>
  <c r="AM14" i="65" s="1"/>
  <c r="AF13" i="65"/>
  <c r="AG13" i="65" s="1"/>
  <c r="AF12" i="65"/>
  <c r="AG12" i="65" s="1"/>
  <c r="AD12" i="65"/>
  <c r="AM12" i="65" s="1"/>
  <c r="AF14" i="65"/>
  <c r="D16" i="65"/>
  <c r="E16" i="65" s="1"/>
  <c r="F16" i="65" s="1"/>
  <c r="G16" i="65" s="1"/>
  <c r="H16" i="65" s="1"/>
  <c r="I16" i="65" s="1"/>
  <c r="J16" i="65" s="1"/>
  <c r="K16" i="65" s="1"/>
  <c r="L19" i="65"/>
  <c r="M19" i="65" s="1"/>
  <c r="AO18" i="63" a="1"/>
  <c r="AO18" i="63" s="1"/>
  <c r="B20" i="65" s="1"/>
  <c r="AN20" i="63" a="1"/>
  <c r="AN20" i="63" s="1"/>
  <c r="AN21" i="63" s="1" a="1"/>
  <c r="AN21" i="63" s="1"/>
  <c r="D17" i="65"/>
  <c r="E17" i="65" s="1"/>
  <c r="F17" i="65" s="1"/>
  <c r="G17" i="65" s="1"/>
  <c r="H17" i="65" s="1"/>
  <c r="I17" i="65" s="1"/>
  <c r="J17" i="65" s="1"/>
  <c r="K17" i="65" s="1"/>
  <c r="AB15" i="65"/>
  <c r="AC15" i="65" s="1"/>
  <c r="L18" i="65"/>
  <c r="M18" i="65" s="1"/>
  <c r="C18" i="65"/>
  <c r="D19" i="65"/>
  <c r="E19" i="65" s="1"/>
  <c r="F19" i="65" s="1"/>
  <c r="G19" i="65" s="1"/>
  <c r="H19" i="65" s="1"/>
  <c r="I19" i="65" s="1"/>
  <c r="J19" i="65" s="1"/>
  <c r="K19" i="65" s="1"/>
  <c r="AE16" i="65" l="1"/>
  <c r="AH16" i="65" s="1"/>
  <c r="N18" i="65"/>
  <c r="U18" i="65" s="1"/>
  <c r="P18" i="65"/>
  <c r="AG14" i="65"/>
  <c r="R16" i="65"/>
  <c r="S16" i="65" s="1"/>
  <c r="AV16" i="65"/>
  <c r="Q16" i="65"/>
  <c r="O16" i="65"/>
  <c r="L20" i="65"/>
  <c r="M20" i="65" s="1"/>
  <c r="C20" i="65"/>
  <c r="AO19" i="63" a="1"/>
  <c r="AO19" i="63" s="1"/>
  <c r="AN22" i="63" a="1"/>
  <c r="AN22" i="63" s="1"/>
  <c r="R19" i="65"/>
  <c r="S19" i="65" s="1"/>
  <c r="O19" i="65" s="1"/>
  <c r="Q19" i="65"/>
  <c r="AV19" i="65"/>
  <c r="AE19" i="65"/>
  <c r="AH19" i="65" s="1"/>
  <c r="D18" i="65"/>
  <c r="E18" i="65" s="1"/>
  <c r="F18" i="65" s="1"/>
  <c r="G18" i="65" s="1"/>
  <c r="H18" i="65" s="1"/>
  <c r="I18" i="65" s="1"/>
  <c r="J18" i="65" s="1"/>
  <c r="K18" i="65" s="1"/>
  <c r="AD15" i="65"/>
  <c r="AM15" i="65" s="1"/>
  <c r="AF15" i="65"/>
  <c r="AG15" i="65" s="1"/>
  <c r="R17" i="65"/>
  <c r="S17" i="65" s="1"/>
  <c r="O17" i="65" s="1"/>
  <c r="Y17" i="65" s="1"/>
  <c r="AE17" i="65"/>
  <c r="AH17" i="65" s="1"/>
  <c r="Q17" i="65"/>
  <c r="AV17" i="65"/>
  <c r="N20" i="65" l="1"/>
  <c r="P20" i="65"/>
  <c r="Y16" i="65"/>
  <c r="AB16" i="65" s="1"/>
  <c r="Y19" i="65"/>
  <c r="AB19" i="65" s="1"/>
  <c r="AC19" i="65" s="1"/>
  <c r="AD19" i="65" s="1"/>
  <c r="AF16" i="65"/>
  <c r="AO20" i="63" a="1"/>
  <c r="AO20" i="63" s="1"/>
  <c r="B22" i="65" s="1"/>
  <c r="B21" i="65"/>
  <c r="D20" i="65"/>
  <c r="E20" i="65" s="1"/>
  <c r="F20" i="65" s="1"/>
  <c r="G20" i="65" s="1"/>
  <c r="H20" i="65" s="1"/>
  <c r="I20" i="65" s="1"/>
  <c r="J20" i="65" s="1"/>
  <c r="K20" i="65" s="1"/>
  <c r="AN23" i="63" a="1"/>
  <c r="AN23" i="63" s="1"/>
  <c r="AN24" i="63" s="1" a="1"/>
  <c r="AN24" i="63" s="1"/>
  <c r="AN25" i="63" s="1" a="1"/>
  <c r="AN25" i="63" s="1"/>
  <c r="AN26" i="63" s="1" a="1"/>
  <c r="AN26" i="63" s="1"/>
  <c r="AN27" i="63" s="1" a="1"/>
  <c r="AN27" i="63" s="1"/>
  <c r="AN28" i="63" s="1" a="1"/>
  <c r="AN28" i="63" s="1"/>
  <c r="AN29" i="63" s="1" a="1"/>
  <c r="AN29" i="63" s="1"/>
  <c r="AB17" i="65"/>
  <c r="AC17" i="65" s="1"/>
  <c r="AM19" i="65"/>
  <c r="AV18" i="65"/>
  <c r="R18" i="65"/>
  <c r="S18" i="65" s="1"/>
  <c r="O18" i="65" s="1"/>
  <c r="Y18" i="65" s="1"/>
  <c r="AE18" i="65"/>
  <c r="AH18" i="65" s="1"/>
  <c r="Q18" i="65"/>
  <c r="AF19" i="65"/>
  <c r="AG19" i="65" l="1"/>
  <c r="AC16" i="65"/>
  <c r="AD16" i="65" s="1"/>
  <c r="AM16" i="65" s="1"/>
  <c r="AG16" i="65"/>
  <c r="U20" i="65"/>
  <c r="AB18" i="65"/>
  <c r="Q20" i="65"/>
  <c r="R20" i="65"/>
  <c r="S20" i="65" s="1"/>
  <c r="O20" i="65" s="1"/>
  <c r="AV20" i="65"/>
  <c r="AE20" i="65"/>
  <c r="AH20" i="65" s="1"/>
  <c r="AO21" i="63" a="1"/>
  <c r="AO21" i="63" s="1"/>
  <c r="B23" i="65" s="1"/>
  <c r="L21" i="65"/>
  <c r="M21" i="65" s="1"/>
  <c r="C21" i="65"/>
  <c r="C22" i="65"/>
  <c r="L22" i="65"/>
  <c r="M22" i="65" s="1"/>
  <c r="AN30" i="63" a="1"/>
  <c r="AN30" i="63" s="1"/>
  <c r="AN31" i="63" s="1" a="1"/>
  <c r="AN31" i="63" s="1"/>
  <c r="AN32" i="63" s="1" a="1"/>
  <c r="AN32" i="63" s="1"/>
  <c r="AN33" i="63" s="1" a="1"/>
  <c r="AN33" i="63" s="1"/>
  <c r="AD17" i="65"/>
  <c r="AM17" i="65" s="1"/>
  <c r="AF17" i="65"/>
  <c r="AG17" i="65" s="1"/>
  <c r="N22" i="65" l="1"/>
  <c r="U22" i="65" s="1"/>
  <c r="P22" i="65"/>
  <c r="N21" i="65"/>
  <c r="P21" i="65"/>
  <c r="AC18" i="65"/>
  <c r="AD18" i="65" s="1"/>
  <c r="AM18" i="65" s="1"/>
  <c r="AM22" i="65"/>
  <c r="AF18" i="65"/>
  <c r="AG18" i="65" s="1"/>
  <c r="AO22" i="63" a="1"/>
  <c r="AO22" i="63" s="1"/>
  <c r="B24" i="65" s="1"/>
  <c r="D21" i="65"/>
  <c r="E21" i="65" s="1"/>
  <c r="F21" i="65" s="1"/>
  <c r="G21" i="65" s="1"/>
  <c r="H21" i="65" s="1"/>
  <c r="I21" i="65" s="1"/>
  <c r="J21" i="65" s="1"/>
  <c r="K21" i="65" s="1"/>
  <c r="L23" i="65"/>
  <c r="M23" i="65" s="1"/>
  <c r="C23" i="65"/>
  <c r="D22" i="65"/>
  <c r="E22" i="65" s="1"/>
  <c r="F22" i="65" s="1"/>
  <c r="G22" i="65" s="1"/>
  <c r="H22" i="65" s="1"/>
  <c r="I22" i="65" s="1"/>
  <c r="J22" i="65" s="1"/>
  <c r="K22" i="65" s="1"/>
  <c r="AN34" i="63"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N23" i="65" l="1"/>
  <c r="U23" i="65" s="1"/>
  <c r="P23" i="65"/>
  <c r="Y20" i="65"/>
  <c r="AB20" i="65" s="1"/>
  <c r="AC20" i="65" s="1"/>
  <c r="AD20" i="65" s="1"/>
  <c r="AM20" i="65" s="1"/>
  <c r="AM23" i="65"/>
  <c r="AF20" i="65"/>
  <c r="U21" i="65"/>
  <c r="R22" i="65"/>
  <c r="S22" i="65" s="1"/>
  <c r="O22" i="65" s="1"/>
  <c r="Y22" i="65" s="1"/>
  <c r="Q22" i="65"/>
  <c r="AV22" i="65"/>
  <c r="AE22" i="65"/>
  <c r="AH22" i="65" s="1"/>
  <c r="AF22" i="65"/>
  <c r="D23" i="65"/>
  <c r="E23" i="65" s="1"/>
  <c r="F23" i="65" s="1"/>
  <c r="G23" i="65" s="1"/>
  <c r="H23" i="65" s="1"/>
  <c r="I23" i="65" s="1"/>
  <c r="J23" i="65" s="1"/>
  <c r="K23" i="65" s="1"/>
  <c r="AV21" i="65"/>
  <c r="R21" i="65"/>
  <c r="S21" i="65" s="1"/>
  <c r="O21" i="65" s="1"/>
  <c r="AE21" i="65"/>
  <c r="AH21" i="65" s="1"/>
  <c r="Q21" i="65"/>
  <c r="AO23" i="63" a="1"/>
  <c r="AO23" i="63" s="1"/>
  <c r="B25" i="65" s="1"/>
  <c r="L24" i="65"/>
  <c r="M24" i="65" s="1"/>
  <c r="C24" i="65"/>
  <c r="N24" i="65" l="1"/>
  <c r="P24" i="65"/>
  <c r="AG20" i="65"/>
  <c r="AB22" i="65"/>
  <c r="AC22" i="65" s="1"/>
  <c r="AD22" i="65" s="1"/>
  <c r="AO24" i="63" a="1"/>
  <c r="AO24" i="63" s="1"/>
  <c r="B26" i="65" s="1"/>
  <c r="C25" i="65"/>
  <c r="L25" i="65"/>
  <c r="M25" i="65" s="1"/>
  <c r="AG22" i="65"/>
  <c r="D24" i="65"/>
  <c r="E24" i="65" s="1"/>
  <c r="F24" i="65" s="1"/>
  <c r="G24" i="65" s="1"/>
  <c r="H24" i="65" s="1"/>
  <c r="I24" i="65" s="1"/>
  <c r="J24" i="65" s="1"/>
  <c r="K24" i="65" s="1"/>
  <c r="Q23" i="65"/>
  <c r="AE23" i="65"/>
  <c r="AH23" i="65" s="1"/>
  <c r="R23" i="65"/>
  <c r="S23" i="65" s="1"/>
  <c r="O23" i="65" s="1"/>
  <c r="AV23" i="65"/>
  <c r="AF23" i="65"/>
  <c r="AM24" i="65"/>
  <c r="N25" i="65" l="1"/>
  <c r="U25" i="65" s="1"/>
  <c r="P25" i="65"/>
  <c r="Y21" i="65"/>
  <c r="AB21" i="65" s="1"/>
  <c r="AC21" i="65" s="1"/>
  <c r="AD21" i="65" s="1"/>
  <c r="AM21" i="65" s="1"/>
  <c r="Y23" i="65"/>
  <c r="AB23" i="65" s="1"/>
  <c r="AC23" i="65" s="1"/>
  <c r="AD23" i="65" s="1"/>
  <c r="AF21" i="65"/>
  <c r="AF24" i="65"/>
  <c r="U24" i="65"/>
  <c r="AH24" i="65"/>
  <c r="R24" i="65"/>
  <c r="S24" i="65" s="1"/>
  <c r="O24" i="65" s="1"/>
  <c r="AE24" i="65"/>
  <c r="AV24" i="65"/>
  <c r="Q24" i="65"/>
  <c r="D25" i="65"/>
  <c r="E25" i="65" s="1"/>
  <c r="F25" i="65" s="1"/>
  <c r="G25" i="65" s="1"/>
  <c r="H25" i="65" s="1"/>
  <c r="I25" i="65" s="1"/>
  <c r="J25" i="65" s="1"/>
  <c r="K25" i="65" s="1"/>
  <c r="AO25" i="63" a="1"/>
  <c r="AO25" i="63" s="1"/>
  <c r="B27" i="65" s="1"/>
  <c r="C26" i="65"/>
  <c r="L26" i="65"/>
  <c r="M26" i="65" s="1"/>
  <c r="AM25" i="65"/>
  <c r="N26" i="65" l="1"/>
  <c r="U26" i="65" s="1"/>
  <c r="P26" i="65"/>
  <c r="AG23" i="65"/>
  <c r="Y24" i="65"/>
  <c r="AB24" i="65" s="1"/>
  <c r="AC24" i="65" s="1"/>
  <c r="AD24" i="65" s="1"/>
  <c r="AG21" i="65"/>
  <c r="L27" i="65"/>
  <c r="M27" i="65" s="1"/>
  <c r="C27" i="65"/>
  <c r="AV25" i="65"/>
  <c r="R25" i="65"/>
  <c r="S25" i="65" s="1"/>
  <c r="O25" i="65" s="1"/>
  <c r="Y25" i="65" s="1"/>
  <c r="AH25" i="65"/>
  <c r="AE25" i="65"/>
  <c r="Q25" i="65"/>
  <c r="AO26" i="63" a="1"/>
  <c r="AO26" i="63" s="1"/>
  <c r="B28" i="65" s="1"/>
  <c r="D26" i="65"/>
  <c r="E26" i="65" s="1"/>
  <c r="F26" i="65" s="1"/>
  <c r="G26" i="65" s="1"/>
  <c r="H26" i="65" s="1"/>
  <c r="I26" i="65" s="1"/>
  <c r="J26" i="65" s="1"/>
  <c r="K26" i="65" s="1"/>
  <c r="AF25" i="65"/>
  <c r="N27" i="65" l="1"/>
  <c r="P27" i="65"/>
  <c r="AG24" i="65"/>
  <c r="AB25" i="65"/>
  <c r="AC25" i="65" s="1"/>
  <c r="AD25" i="65" s="1"/>
  <c r="AG25" i="65"/>
  <c r="Q26" i="65"/>
  <c r="AH26" i="65"/>
  <c r="R26" i="65"/>
  <c r="S26" i="65" s="1"/>
  <c r="O26" i="65" s="1"/>
  <c r="AE26" i="65"/>
  <c r="AV26" i="65"/>
  <c r="L28" i="65"/>
  <c r="M28" i="65" s="1"/>
  <c r="C28" i="65"/>
  <c r="D27" i="65"/>
  <c r="E27" i="65" s="1"/>
  <c r="F27" i="65" s="1"/>
  <c r="G27" i="65" s="1"/>
  <c r="H27" i="65" s="1"/>
  <c r="I27" i="65" s="1"/>
  <c r="J27" i="65" s="1"/>
  <c r="K27" i="65" s="1"/>
  <c r="AO27" i="63" a="1"/>
  <c r="AO27" i="63" s="1"/>
  <c r="B29" i="65" s="1"/>
  <c r="AF26" i="65"/>
  <c r="AM27" i="65"/>
  <c r="N28" i="65" l="1"/>
  <c r="P28" i="65"/>
  <c r="Y26" i="65"/>
  <c r="AB26" i="65" s="1"/>
  <c r="AC26" i="65" s="1"/>
  <c r="AD26" i="65" s="1"/>
  <c r="AM26" i="65" s="1"/>
  <c r="AF27" i="65"/>
  <c r="U27" i="65"/>
  <c r="AO28" i="63" a="1"/>
  <c r="AO28" i="63" s="1"/>
  <c r="B30" i="65" s="1"/>
  <c r="AV27" i="65"/>
  <c r="Q27" i="65"/>
  <c r="R27" i="65"/>
  <c r="S27" i="65" s="1"/>
  <c r="O27" i="65" s="1"/>
  <c r="AE27" i="65"/>
  <c r="AH27" i="65" s="1"/>
  <c r="D28" i="65"/>
  <c r="E28" i="65" s="1"/>
  <c r="F28" i="65" s="1"/>
  <c r="G28" i="65" s="1"/>
  <c r="H28" i="65" s="1"/>
  <c r="I28" i="65" s="1"/>
  <c r="J28" i="65" s="1"/>
  <c r="K28" i="65" s="1"/>
  <c r="C29" i="65"/>
  <c r="L29" i="65"/>
  <c r="M29" i="65" s="1"/>
  <c r="AM28" i="65"/>
  <c r="N29" i="65" l="1"/>
  <c r="P29" i="65"/>
  <c r="AG26" i="65"/>
  <c r="Y27" i="65"/>
  <c r="AB27" i="65" s="1"/>
  <c r="AC27" i="65" s="1"/>
  <c r="AD27" i="65" s="1"/>
  <c r="AF28" i="65"/>
  <c r="U28" i="65"/>
  <c r="AO29" i="63" a="1"/>
  <c r="AO29" i="63" s="1"/>
  <c r="B31" i="65" s="1"/>
  <c r="D29" i="65"/>
  <c r="E29" i="65" s="1"/>
  <c r="F29" i="65" s="1"/>
  <c r="G29" i="65" s="1"/>
  <c r="H29" i="65" s="1"/>
  <c r="I29" i="65" s="1"/>
  <c r="J29" i="65" s="1"/>
  <c r="K29" i="65" s="1"/>
  <c r="AV28" i="65"/>
  <c r="AH28" i="65"/>
  <c r="Q28" i="65"/>
  <c r="AE28" i="65"/>
  <c r="R28" i="65"/>
  <c r="S28" i="65" s="1"/>
  <c r="O28" i="65" s="1"/>
  <c r="L30" i="65"/>
  <c r="M30" i="65" s="1"/>
  <c r="C30" i="65"/>
  <c r="AM29" i="65"/>
  <c r="N30" i="65" l="1"/>
  <c r="P30" i="65"/>
  <c r="Y28" i="65"/>
  <c r="AB28" i="65" s="1"/>
  <c r="AC28" i="65" s="1"/>
  <c r="AD28" i="65" s="1"/>
  <c r="AG27" i="65"/>
  <c r="AF29" i="65"/>
  <c r="U29" i="65"/>
  <c r="AE29" i="65"/>
  <c r="AH29" i="65" s="1"/>
  <c r="Q29" i="65"/>
  <c r="AV29" i="65"/>
  <c r="R29" i="65"/>
  <c r="S29" i="65" s="1"/>
  <c r="O29" i="65" s="1"/>
  <c r="AO30" i="63" a="1"/>
  <c r="AO30" i="63" s="1"/>
  <c r="B32" i="65" s="1"/>
  <c r="D30" i="65"/>
  <c r="E30" i="65" s="1"/>
  <c r="F30" i="65" s="1"/>
  <c r="G30" i="65" s="1"/>
  <c r="H30" i="65" s="1"/>
  <c r="I30" i="65" s="1"/>
  <c r="J30" i="65" s="1"/>
  <c r="K30" i="65" s="1"/>
  <c r="L31" i="65"/>
  <c r="M31" i="65" s="1"/>
  <c r="O31" i="65"/>
  <c r="C31" i="65"/>
  <c r="AM30" i="65"/>
  <c r="N31" i="65" l="1"/>
  <c r="U31" i="65" s="1"/>
  <c r="P31" i="65"/>
  <c r="AG28" i="65"/>
  <c r="Y29" i="65"/>
  <c r="AF30" i="65"/>
  <c r="U30" i="65"/>
  <c r="C32" i="65"/>
  <c r="L32" i="65"/>
  <c r="M32" i="65" s="1"/>
  <c r="O32" i="65"/>
  <c r="D31" i="65"/>
  <c r="E31" i="65" s="1"/>
  <c r="F31" i="65" s="1"/>
  <c r="G31" i="65" s="1"/>
  <c r="H31" i="65" s="1"/>
  <c r="I31" i="65" s="1"/>
  <c r="J31" i="65" s="1"/>
  <c r="K31" i="65" s="1"/>
  <c r="AM31" i="65"/>
  <c r="Q30" i="65"/>
  <c r="AV30" i="65"/>
  <c r="AE30" i="65"/>
  <c r="AH30" i="65" s="1"/>
  <c r="R30" i="65"/>
  <c r="S30" i="65" s="1"/>
  <c r="O30" i="65" s="1"/>
  <c r="AO31" i="63" a="1"/>
  <c r="AO31" i="63" s="1"/>
  <c r="B33" i="65" s="1"/>
  <c r="N32" i="65" l="1"/>
  <c r="U32" i="65" s="1"/>
  <c r="P32" i="65"/>
  <c r="Y30" i="65"/>
  <c r="AG30" i="65" s="1"/>
  <c r="AB29" i="65"/>
  <c r="AG29" i="65"/>
  <c r="L33" i="65"/>
  <c r="M33" i="65" s="1"/>
  <c r="O33" i="65"/>
  <c r="C33" i="65"/>
  <c r="AE31" i="65"/>
  <c r="AH31" i="65"/>
  <c r="R31" i="65"/>
  <c r="S31" i="65" s="1"/>
  <c r="AF31" i="65"/>
  <c r="AV31" i="65"/>
  <c r="Q31" i="65"/>
  <c r="AM32" i="65"/>
  <c r="D32" i="65"/>
  <c r="E32" i="65" s="1"/>
  <c r="F32" i="65" s="1"/>
  <c r="G32" i="65" s="1"/>
  <c r="H32" i="65" s="1"/>
  <c r="I32" i="65" s="1"/>
  <c r="J32" i="65" s="1"/>
  <c r="K32" i="65" s="1"/>
  <c r="AO32" i="63" a="1"/>
  <c r="AO32" i="63" s="1"/>
  <c r="B34" i="65" s="1"/>
  <c r="N33" i="65" l="1"/>
  <c r="P33" i="65"/>
  <c r="AB30" i="65"/>
  <c r="AC30" i="65" s="1"/>
  <c r="AD30" i="65" s="1"/>
  <c r="Y31" i="65"/>
  <c r="AB31" i="65" s="1"/>
  <c r="AC31" i="65" s="1"/>
  <c r="AD31" i="65" s="1"/>
  <c r="AC29" i="65"/>
  <c r="AD29" i="65" s="1"/>
  <c r="C34" i="65"/>
  <c r="O34" i="65"/>
  <c r="L34" i="65"/>
  <c r="M34" i="65" s="1"/>
  <c r="R32" i="65"/>
  <c r="S32" i="65" s="1"/>
  <c r="Y32" i="65" s="1"/>
  <c r="AV32" i="65"/>
  <c r="AH32" i="65"/>
  <c r="Q32" i="65"/>
  <c r="AF32" i="65"/>
  <c r="AE32" i="65"/>
  <c r="D33" i="65"/>
  <c r="E33" i="65" s="1"/>
  <c r="F33" i="65" s="1"/>
  <c r="G33" i="65" s="1"/>
  <c r="H33" i="65" s="1"/>
  <c r="I33" i="65" s="1"/>
  <c r="J33" i="65" s="1"/>
  <c r="K33" i="65" s="1"/>
  <c r="AM33" i="65"/>
  <c r="U33" i="65"/>
  <c r="AO33" i="63" a="1"/>
  <c r="AO33" i="63" s="1"/>
  <c r="B35" i="65" s="1"/>
  <c r="N34" i="65" l="1"/>
  <c r="U34" i="65" s="1"/>
  <c r="P34" i="65"/>
  <c r="AB32" i="65"/>
  <c r="AC32" i="65" s="1"/>
  <c r="AD32" i="65" s="1"/>
  <c r="AG31" i="65"/>
  <c r="AO34" i="63" a="1"/>
  <c r="AO34" i="63" s="1"/>
  <c r="B36" i="65" s="1"/>
  <c r="C35" i="65"/>
  <c r="L35" i="65"/>
  <c r="M35" i="65" s="1"/>
  <c r="O35" i="65"/>
  <c r="AF33" i="65"/>
  <c r="AE33" i="65"/>
  <c r="Q33" i="65"/>
  <c r="AH33" i="65"/>
  <c r="AV33" i="65"/>
  <c r="R33" i="65"/>
  <c r="S33" i="65" s="1"/>
  <c r="AG32" i="65"/>
  <c r="AM34" i="65"/>
  <c r="D34" i="65"/>
  <c r="E34" i="65" s="1"/>
  <c r="F34" i="65" s="1"/>
  <c r="G34" i="65" s="1"/>
  <c r="H34" i="65" s="1"/>
  <c r="I34" i="65" s="1"/>
  <c r="J34" i="65" s="1"/>
  <c r="K34" i="65" s="1"/>
  <c r="N35" i="65" l="1"/>
  <c r="U35" i="65" s="1"/>
  <c r="P35" i="65"/>
  <c r="Y33" i="65"/>
  <c r="AG33" i="65" s="1"/>
  <c r="AO35" i="63" a="1"/>
  <c r="AO35" i="63" s="1"/>
  <c r="B37" i="65" s="1"/>
  <c r="AF34" i="65"/>
  <c r="AV34" i="65"/>
  <c r="R34" i="65"/>
  <c r="S34" i="65" s="1"/>
  <c r="AH34" i="65"/>
  <c r="AE34" i="65"/>
  <c r="Q34" i="65"/>
  <c r="D35" i="65"/>
  <c r="E35" i="65" s="1"/>
  <c r="F35" i="65" s="1"/>
  <c r="G35" i="65" s="1"/>
  <c r="H35" i="65" s="1"/>
  <c r="I35" i="65" s="1"/>
  <c r="J35" i="65" s="1"/>
  <c r="K35" i="65" s="1"/>
  <c r="AM35" i="65"/>
  <c r="L36" i="65"/>
  <c r="M36" i="65" s="1"/>
  <c r="C36" i="65"/>
  <c r="O36" i="65"/>
  <c r="N36" i="65" l="1"/>
  <c r="U36" i="65" s="1"/>
  <c r="P36" i="65"/>
  <c r="AB33" i="65"/>
  <c r="AC33" i="65" s="1"/>
  <c r="AD33" i="65" s="1"/>
  <c r="Y34" i="65"/>
  <c r="AG34" i="65" s="1"/>
  <c r="AO36" i="63" a="1"/>
  <c r="AO36" i="63" s="1"/>
  <c r="D36" i="65"/>
  <c r="E36" i="65" s="1"/>
  <c r="F36" i="65" s="1"/>
  <c r="G36" i="65" s="1"/>
  <c r="H36" i="65" s="1"/>
  <c r="I36" i="65" s="1"/>
  <c r="J36" i="65" s="1"/>
  <c r="K36" i="65" s="1"/>
  <c r="AM36" i="65"/>
  <c r="AE35" i="65"/>
  <c r="AH35" i="65"/>
  <c r="R35" i="65"/>
  <c r="S35" i="65" s="1"/>
  <c r="AV35" i="65"/>
  <c r="Q35" i="65"/>
  <c r="AF35" i="65"/>
  <c r="O37" i="65"/>
  <c r="C37" i="65"/>
  <c r="L37" i="65"/>
  <c r="M37" i="65" s="1"/>
  <c r="N37" i="65" l="1"/>
  <c r="U37" i="65" s="1"/>
  <c r="P37" i="65"/>
  <c r="AB34" i="65"/>
  <c r="AC34" i="65" s="1"/>
  <c r="AD34" i="65" s="1"/>
  <c r="Y35" i="65"/>
  <c r="AG35" i="65" s="1"/>
  <c r="AO37" i="63" a="1"/>
  <c r="AO37" i="63" s="1"/>
  <c r="B39" i="65" s="1"/>
  <c r="AE36" i="65"/>
  <c r="AF36" i="65"/>
  <c r="Q36" i="65"/>
  <c r="R36" i="65"/>
  <c r="S36" i="65" s="1"/>
  <c r="Y36" i="65" s="1"/>
  <c r="AH36" i="65"/>
  <c r="AV36" i="65"/>
  <c r="AM37" i="65"/>
  <c r="D37" i="65"/>
  <c r="E37" i="65" s="1"/>
  <c r="F37" i="65" s="1"/>
  <c r="G37" i="65" s="1"/>
  <c r="H37" i="65" s="1"/>
  <c r="I37" i="65" s="1"/>
  <c r="J37" i="65" s="1"/>
  <c r="K37" i="65" s="1"/>
  <c r="B38" i="65"/>
  <c r="AB36" i="65" l="1"/>
  <c r="AC36" i="65" s="1"/>
  <c r="AD36" i="65" s="1"/>
  <c r="AB35" i="65"/>
  <c r="AC35" i="65" s="1"/>
  <c r="AD35" i="65" s="1"/>
  <c r="AG36" i="65"/>
  <c r="AO38" i="63" a="1"/>
  <c r="AO38" i="63" s="1"/>
  <c r="B40" i="65" s="1"/>
  <c r="AV37" i="65"/>
  <c r="AF37" i="65"/>
  <c r="AE37" i="65"/>
  <c r="R37" i="65"/>
  <c r="S37" i="65" s="1"/>
  <c r="Y37" i="65" s="1"/>
  <c r="Q37" i="65"/>
  <c r="AH37" i="65"/>
  <c r="O38" i="65"/>
  <c r="C38" i="65"/>
  <c r="L38" i="65"/>
  <c r="M38" i="65" s="1"/>
  <c r="L39" i="65"/>
  <c r="M39" i="65" s="1"/>
  <c r="C39" i="65"/>
  <c r="O39" i="65"/>
  <c r="N39" i="65" l="1"/>
  <c r="U39" i="65" s="1"/>
  <c r="P39" i="65"/>
  <c r="N38" i="65"/>
  <c r="U38" i="65" s="1"/>
  <c r="P38" i="65"/>
  <c r="AB37" i="65"/>
  <c r="AC37" i="65" s="1"/>
  <c r="AD37" i="65" s="1"/>
  <c r="D38" i="65"/>
  <c r="E38" i="65" s="1"/>
  <c r="F38" i="65" s="1"/>
  <c r="G38" i="65" s="1"/>
  <c r="H38" i="65" s="1"/>
  <c r="I38" i="65" s="1"/>
  <c r="J38" i="65" s="1"/>
  <c r="K38" i="65" s="1"/>
  <c r="AM38" i="65"/>
  <c r="AG37" i="65"/>
  <c r="AO39" i="63" a="1"/>
  <c r="AO39" i="63" s="1"/>
  <c r="B41" i="65" s="1"/>
  <c r="D39" i="65"/>
  <c r="E39" i="65" s="1"/>
  <c r="F39" i="65" s="1"/>
  <c r="G39" i="65" s="1"/>
  <c r="H39" i="65" s="1"/>
  <c r="I39" i="65" s="1"/>
  <c r="J39" i="65" s="1"/>
  <c r="K39" i="65" s="1"/>
  <c r="AM39" i="65"/>
  <c r="L40" i="65"/>
  <c r="M40" i="65" s="1"/>
  <c r="O40" i="65"/>
  <c r="C40" i="65"/>
  <c r="N40" i="65" l="1"/>
  <c r="AF40" i="65" s="1"/>
  <c r="P40" i="65"/>
  <c r="AH38" i="65"/>
  <c r="AE38" i="65"/>
  <c r="R38" i="65"/>
  <c r="S38" i="65" s="1"/>
  <c r="Q38" i="65"/>
  <c r="AF38" i="65"/>
  <c r="AV38" i="65"/>
  <c r="O41" i="65"/>
  <c r="C41" i="65"/>
  <c r="L41" i="65"/>
  <c r="M41" i="65" s="1"/>
  <c r="D40" i="65"/>
  <c r="E40" i="65" s="1"/>
  <c r="F40" i="65" s="1"/>
  <c r="G40" i="65" s="1"/>
  <c r="H40" i="65" s="1"/>
  <c r="I40" i="65" s="1"/>
  <c r="J40" i="65" s="1"/>
  <c r="K40" i="65" s="1"/>
  <c r="AM40" i="65"/>
  <c r="AF39" i="65"/>
  <c r="AE39" i="65"/>
  <c r="AH39" i="65"/>
  <c r="AV39" i="65"/>
  <c r="Q39" i="65"/>
  <c r="R39" i="65"/>
  <c r="S39" i="65" s="1"/>
  <c r="Y39" i="65" s="1"/>
  <c r="AO40" i="63" a="1"/>
  <c r="AO40" i="63" s="1"/>
  <c r="B42" i="65" s="1"/>
  <c r="U40" i="65" l="1"/>
  <c r="R40" i="65"/>
  <c r="S40" i="65" s="1"/>
  <c r="Y40" i="65" s="1"/>
  <c r="AH40" i="65"/>
  <c r="AV40" i="65"/>
  <c r="N41" i="65"/>
  <c r="U41" i="65" s="1"/>
  <c r="P41" i="65"/>
  <c r="Q40" i="65"/>
  <c r="AE40" i="65"/>
  <c r="AB39" i="65"/>
  <c r="AC39" i="65" s="1"/>
  <c r="AD39" i="65" s="1"/>
  <c r="Y38" i="65"/>
  <c r="AB38" i="65" s="1"/>
  <c r="AC38" i="65" s="1"/>
  <c r="AD38" i="65" s="1"/>
  <c r="L42" i="65"/>
  <c r="M42" i="65" s="1"/>
  <c r="C42" i="65"/>
  <c r="O42" i="65"/>
  <c r="AG39" i="65"/>
  <c r="D41" i="65"/>
  <c r="E41" i="65" s="1"/>
  <c r="F41" i="65" s="1"/>
  <c r="G41" i="65" s="1"/>
  <c r="H41" i="65" s="1"/>
  <c r="I41" i="65" s="1"/>
  <c r="J41" i="65" s="1"/>
  <c r="K41" i="65" s="1"/>
  <c r="AM41" i="65"/>
  <c r="AO41" i="63" a="1"/>
  <c r="AO41" i="63" s="1"/>
  <c r="B43" i="65" s="1"/>
  <c r="N42" i="65" l="1"/>
  <c r="U42" i="65" s="1"/>
  <c r="P42" i="65"/>
  <c r="AG38" i="65"/>
  <c r="L43" i="65"/>
  <c r="M43" i="65" s="1"/>
  <c r="C43" i="65"/>
  <c r="O43" i="65"/>
  <c r="AG40" i="65"/>
  <c r="AB40" i="65"/>
  <c r="Q41" i="65"/>
  <c r="R41" i="65"/>
  <c r="S41" i="65" s="1"/>
  <c r="AH41" i="65"/>
  <c r="AE41" i="65"/>
  <c r="AF41" i="65"/>
  <c r="AV41" i="65"/>
  <c r="D42" i="65"/>
  <c r="E42" i="65" s="1"/>
  <c r="F42" i="65" s="1"/>
  <c r="G42" i="65" s="1"/>
  <c r="H42" i="65" s="1"/>
  <c r="I42" i="65" s="1"/>
  <c r="J42" i="65" s="1"/>
  <c r="K42" i="65" s="1"/>
  <c r="AM42" i="65"/>
  <c r="AO42" i="63" a="1"/>
  <c r="AO42" i="63" s="1"/>
  <c r="B44" i="65" s="1"/>
  <c r="N43" i="65" l="1"/>
  <c r="U43" i="65" s="1"/>
  <c r="P43" i="65"/>
  <c r="Y41" i="65"/>
  <c r="AB41" i="65" s="1"/>
  <c r="AC41" i="65" s="1"/>
  <c r="AD41" i="65" s="1"/>
  <c r="AC40" i="65"/>
  <c r="AD40" i="65" s="1"/>
  <c r="L44" i="65"/>
  <c r="M44" i="65" s="1"/>
  <c r="O44" i="65"/>
  <c r="C44" i="65"/>
  <c r="AE42" i="65"/>
  <c r="Q42" i="65"/>
  <c r="AH42" i="65"/>
  <c r="AF42" i="65"/>
  <c r="AV42" i="65"/>
  <c r="R42" i="65"/>
  <c r="S42" i="65" s="1"/>
  <c r="AO43" i="63" a="1"/>
  <c r="AO43" i="63" s="1"/>
  <c r="B45" i="65" s="1"/>
  <c r="AM43" i="65"/>
  <c r="D43" i="65"/>
  <c r="E43" i="65" s="1"/>
  <c r="F43" i="65" s="1"/>
  <c r="G43" i="65" s="1"/>
  <c r="H43" i="65" s="1"/>
  <c r="I43" i="65" s="1"/>
  <c r="J43" i="65" s="1"/>
  <c r="K43" i="65" s="1"/>
  <c r="N44" i="65" l="1"/>
  <c r="U44" i="65" s="1"/>
  <c r="P44" i="65"/>
  <c r="AG41" i="65"/>
  <c r="Y42" i="65"/>
  <c r="AB42" i="65" s="1"/>
  <c r="AC42" i="65" s="1"/>
  <c r="AD42" i="65" s="1"/>
  <c r="C45" i="65"/>
  <c r="O45" i="65"/>
  <c r="L45" i="65"/>
  <c r="M45" i="65" s="1"/>
  <c r="AO44" i="63" a="1"/>
  <c r="AO44" i="63" s="1"/>
  <c r="B46" i="65" s="1"/>
  <c r="AM44" i="65"/>
  <c r="D44" i="65"/>
  <c r="E44" i="65" s="1"/>
  <c r="F44" i="65" s="1"/>
  <c r="G44" i="65" s="1"/>
  <c r="H44" i="65" s="1"/>
  <c r="I44" i="65" s="1"/>
  <c r="J44" i="65" s="1"/>
  <c r="K44" i="65" s="1"/>
  <c r="AV43" i="65"/>
  <c r="AF43" i="65"/>
  <c r="Q43" i="65"/>
  <c r="R43" i="65"/>
  <c r="S43" i="65" s="1"/>
  <c r="Y43" i="65" s="1"/>
  <c r="AE43" i="65"/>
  <c r="AH43" i="65"/>
  <c r="N45" i="65" l="1"/>
  <c r="U45" i="65" s="1"/>
  <c r="P45" i="65"/>
  <c r="AG42" i="65"/>
  <c r="AB43" i="65"/>
  <c r="AC43" i="65" s="1"/>
  <c r="AD43" i="65" s="1"/>
  <c r="AG43" i="65"/>
  <c r="AO45" i="63" a="1"/>
  <c r="AO45" i="63" s="1"/>
  <c r="B47" i="65" s="1"/>
  <c r="AH44" i="65"/>
  <c r="AF44" i="65"/>
  <c r="R44" i="65"/>
  <c r="S44" i="65" s="1"/>
  <c r="AV44" i="65"/>
  <c r="Q44" i="65"/>
  <c r="AE44" i="65"/>
  <c r="O46" i="65"/>
  <c r="C46" i="65"/>
  <c r="L46" i="65"/>
  <c r="M46" i="65" s="1"/>
  <c r="AM45" i="65"/>
  <c r="D45" i="65"/>
  <c r="E45" i="65" s="1"/>
  <c r="F45" i="65" s="1"/>
  <c r="G45" i="65" s="1"/>
  <c r="H45" i="65" s="1"/>
  <c r="I45" i="65" s="1"/>
  <c r="J45" i="65" s="1"/>
  <c r="K45" i="65" s="1"/>
  <c r="N46" i="65" l="1"/>
  <c r="U46" i="65" s="1"/>
  <c r="P46" i="65"/>
  <c r="Y44" i="65"/>
  <c r="AB44" i="65" s="1"/>
  <c r="AC44" i="65" s="1"/>
  <c r="AD44" i="65" s="1"/>
  <c r="AO46" i="63" a="1"/>
  <c r="AO46" i="63" s="1"/>
  <c r="B48" i="65" s="1"/>
  <c r="L47" i="65"/>
  <c r="M47" i="65" s="1"/>
  <c r="C47" i="65"/>
  <c r="O47" i="65"/>
  <c r="R45" i="65"/>
  <c r="S45" i="65" s="1"/>
  <c r="AV45" i="65"/>
  <c r="Q45" i="65"/>
  <c r="AH45" i="65"/>
  <c r="AE45" i="65"/>
  <c r="AF45" i="65"/>
  <c r="AM46" i="65"/>
  <c r="D46" i="65"/>
  <c r="E46" i="65" s="1"/>
  <c r="F46" i="65" s="1"/>
  <c r="G46" i="65" s="1"/>
  <c r="H46" i="65" s="1"/>
  <c r="I46" i="65" s="1"/>
  <c r="J46" i="65" s="1"/>
  <c r="K46" i="65" s="1"/>
  <c r="N47" i="65" l="1"/>
  <c r="U47" i="65" s="1"/>
  <c r="P47" i="65"/>
  <c r="Y45" i="65"/>
  <c r="AB45" i="65" s="1"/>
  <c r="AC45" i="65" s="1"/>
  <c r="AD45" i="65" s="1"/>
  <c r="AG44" i="65"/>
  <c r="Q46" i="65"/>
  <c r="R46" i="65"/>
  <c r="S46" i="65" s="1"/>
  <c r="AF46" i="65"/>
  <c r="AH46" i="65"/>
  <c r="AE46" i="65"/>
  <c r="AV46" i="65"/>
  <c r="D47" i="65"/>
  <c r="E47" i="65" s="1"/>
  <c r="F47" i="65" s="1"/>
  <c r="G47" i="65" s="1"/>
  <c r="H47" i="65" s="1"/>
  <c r="I47" i="65" s="1"/>
  <c r="J47" i="65" s="1"/>
  <c r="K47" i="65" s="1"/>
  <c r="AM47" i="65"/>
  <c r="AO47" i="63" a="1"/>
  <c r="AO47" i="63" s="1"/>
  <c r="B49" i="65" s="1"/>
  <c r="L48" i="65"/>
  <c r="M48" i="65" s="1"/>
  <c r="O48" i="65"/>
  <c r="C48" i="65"/>
  <c r="AG45" i="65" l="1"/>
  <c r="N48" i="65"/>
  <c r="U48" i="65" s="1"/>
  <c r="P48" i="65"/>
  <c r="Y46" i="65"/>
  <c r="AG46" i="65" s="1"/>
  <c r="AO48" i="63" a="1"/>
  <c r="AO48" i="63" s="1"/>
  <c r="B50" i="65" s="1"/>
  <c r="O49" i="65"/>
  <c r="L49" i="65"/>
  <c r="M49" i="65" s="1"/>
  <c r="C49" i="65"/>
  <c r="AH47" i="65"/>
  <c r="AV47" i="65"/>
  <c r="Q47" i="65"/>
  <c r="R47" i="65"/>
  <c r="S47" i="65" s="1"/>
  <c r="AE47" i="65"/>
  <c r="AF47" i="65"/>
  <c r="AM48" i="65"/>
  <c r="D48" i="65"/>
  <c r="E48" i="65" s="1"/>
  <c r="F48" i="65" s="1"/>
  <c r="G48" i="65" s="1"/>
  <c r="H48" i="65" s="1"/>
  <c r="I48" i="65" s="1"/>
  <c r="J48" i="65" s="1"/>
  <c r="K48" i="65" s="1"/>
  <c r="N49" i="65" l="1"/>
  <c r="U49" i="65" s="1"/>
  <c r="P49" i="65"/>
  <c r="AB46" i="65"/>
  <c r="AC46" i="65" s="1"/>
  <c r="AD46" i="65" s="1"/>
  <c r="Y47" i="65"/>
  <c r="AG47" i="65" s="1"/>
  <c r="AV48" i="65"/>
  <c r="AH48" i="65"/>
  <c r="AE48" i="65"/>
  <c r="Q48" i="65"/>
  <c r="AF48" i="65"/>
  <c r="R48" i="65"/>
  <c r="S48" i="65" s="1"/>
  <c r="D49" i="65"/>
  <c r="E49" i="65" s="1"/>
  <c r="F49" i="65" s="1"/>
  <c r="G49" i="65" s="1"/>
  <c r="H49" i="65" s="1"/>
  <c r="I49" i="65" s="1"/>
  <c r="J49" i="65" s="1"/>
  <c r="K49" i="65" s="1"/>
  <c r="AM49" i="65"/>
  <c r="AO49" i="63" a="1"/>
  <c r="AO49" i="63" s="1"/>
  <c r="B51" i="65" s="1"/>
  <c r="L50" i="65"/>
  <c r="M50" i="65" s="1"/>
  <c r="C50" i="65"/>
  <c r="O50" i="65"/>
  <c r="N50" i="65" l="1"/>
  <c r="U50" i="65" s="1"/>
  <c r="P50" i="65"/>
  <c r="AB47" i="65"/>
  <c r="AC47" i="65" s="1"/>
  <c r="AD47" i="65" s="1"/>
  <c r="Y48" i="65"/>
  <c r="AB48" i="65" s="1"/>
  <c r="AC48" i="65" s="1"/>
  <c r="AD48" i="65" s="1"/>
  <c r="AM50" i="65"/>
  <c r="D50" i="65"/>
  <c r="E50" i="65" s="1"/>
  <c r="F50" i="65" s="1"/>
  <c r="G50" i="65" s="1"/>
  <c r="H50" i="65" s="1"/>
  <c r="I50" i="65" s="1"/>
  <c r="J50" i="65" s="1"/>
  <c r="K50" i="65" s="1"/>
  <c r="L51" i="65"/>
  <c r="M51" i="65" s="1"/>
  <c r="O51" i="65"/>
  <c r="C51" i="65"/>
  <c r="P51" i="65" s="1"/>
  <c r="AO50" i="63" a="1"/>
  <c r="AO50" i="63" s="1"/>
  <c r="B52" i="65" s="1"/>
  <c r="Q49" i="65"/>
  <c r="AH49" i="65"/>
  <c r="AF49" i="65"/>
  <c r="R49" i="65"/>
  <c r="S49" i="65" s="1"/>
  <c r="Y49" i="65" s="1"/>
  <c r="AV49" i="65"/>
  <c r="AE49" i="65"/>
  <c r="AG48" i="65" l="1"/>
  <c r="AB49" i="65"/>
  <c r="AC49" i="65" s="1"/>
  <c r="AD49" i="65" s="1"/>
  <c r="N51" i="65"/>
  <c r="Q51" i="65" s="1"/>
  <c r="AG49" i="65"/>
  <c r="D51" i="65"/>
  <c r="E51" i="65" s="1"/>
  <c r="F51" i="65" s="1"/>
  <c r="G51" i="65" s="1"/>
  <c r="H51" i="65" s="1"/>
  <c r="I51" i="65" s="1"/>
  <c r="J51" i="65" s="1"/>
  <c r="K51" i="65" s="1"/>
  <c r="AM51" i="65"/>
  <c r="AO51" i="63" a="1"/>
  <c r="AO51" i="63" s="1"/>
  <c r="B53" i="65" s="1"/>
  <c r="AF50" i="65"/>
  <c r="Q50" i="65"/>
  <c r="AE50" i="65"/>
  <c r="R50" i="65"/>
  <c r="S50" i="65" s="1"/>
  <c r="Y50" i="65" s="1"/>
  <c r="AV50" i="65"/>
  <c r="AH50" i="65"/>
  <c r="L52" i="65"/>
  <c r="M52" i="65" s="1"/>
  <c r="C52" i="65"/>
  <c r="O52" i="65"/>
  <c r="N52" i="65" l="1"/>
  <c r="U52" i="65" s="1"/>
  <c r="P52" i="65"/>
  <c r="AB50" i="65"/>
  <c r="AC50" i="65" s="1"/>
  <c r="AD50" i="65" s="1"/>
  <c r="AV51" i="65"/>
  <c r="AE51" i="65"/>
  <c r="AH51" i="65" s="1"/>
  <c r="U51" i="65"/>
  <c r="R51" i="65"/>
  <c r="S51" i="65" s="1"/>
  <c r="Y51" i="65" s="1"/>
  <c r="L53" i="65"/>
  <c r="M53" i="65" s="1"/>
  <c r="C53" i="65"/>
  <c r="O53" i="65"/>
  <c r="AO52" i="63" a="1"/>
  <c r="AO52" i="63" s="1"/>
  <c r="B54" i="65" s="1"/>
  <c r="AG50" i="65"/>
  <c r="AM52" i="65"/>
  <c r="D52" i="65"/>
  <c r="E52" i="65" s="1"/>
  <c r="F52" i="65" s="1"/>
  <c r="G52" i="65" s="1"/>
  <c r="H52" i="65" s="1"/>
  <c r="I52" i="65" s="1"/>
  <c r="J52" i="65" s="1"/>
  <c r="K52" i="65" s="1"/>
  <c r="N53" i="65" l="1"/>
  <c r="U53" i="65" s="1"/>
  <c r="P53" i="65"/>
  <c r="AB51" i="65"/>
  <c r="AC51" i="65" s="1"/>
  <c r="AD51" i="65" s="1"/>
  <c r="AF51" i="65"/>
  <c r="AG51" i="65" s="1"/>
  <c r="C54" i="65"/>
  <c r="L54" i="65"/>
  <c r="M54" i="65" s="1"/>
  <c r="O54" i="65"/>
  <c r="D53" i="65"/>
  <c r="E53" i="65" s="1"/>
  <c r="F53" i="65" s="1"/>
  <c r="G53" i="65" s="1"/>
  <c r="H53" i="65" s="1"/>
  <c r="I53" i="65" s="1"/>
  <c r="J53" i="65" s="1"/>
  <c r="K53" i="65" s="1"/>
  <c r="AM53" i="65"/>
  <c r="AO53" i="63" a="1"/>
  <c r="AO53" i="63" s="1"/>
  <c r="B55" i="65" s="1"/>
  <c r="AF52" i="65"/>
  <c r="Q52" i="65"/>
  <c r="AV52" i="65"/>
  <c r="AH52" i="65"/>
  <c r="AE52" i="65"/>
  <c r="R52" i="65"/>
  <c r="S52" i="65" s="1"/>
  <c r="N54" i="65" l="1"/>
  <c r="U54" i="65" s="1"/>
  <c r="P54" i="65"/>
  <c r="Y52" i="65"/>
  <c r="AB52" i="65" s="1"/>
  <c r="AC52" i="65" s="1"/>
  <c r="AD52" i="65" s="1"/>
  <c r="L55" i="65"/>
  <c r="M55" i="65" s="1"/>
  <c r="O55" i="65"/>
  <c r="C55" i="65"/>
  <c r="AE53" i="65"/>
  <c r="AV53" i="65"/>
  <c r="AH53" i="65"/>
  <c r="Q53" i="65"/>
  <c r="AF53" i="65"/>
  <c r="R53" i="65"/>
  <c r="S53" i="65" s="1"/>
  <c r="D54" i="65"/>
  <c r="E54" i="65" s="1"/>
  <c r="F54" i="65" s="1"/>
  <c r="G54" i="65" s="1"/>
  <c r="H54" i="65" s="1"/>
  <c r="I54" i="65" s="1"/>
  <c r="J54" i="65" s="1"/>
  <c r="K54" i="65" s="1"/>
  <c r="AM54" i="65"/>
  <c r="AO54" i="63" a="1"/>
  <c r="AO54" i="63" s="1"/>
  <c r="B56" i="65" s="1"/>
  <c r="N55" i="65" l="1"/>
  <c r="U55" i="65" s="1"/>
  <c r="P55" i="65"/>
  <c r="AG52" i="65"/>
  <c r="Y53" i="65"/>
  <c r="AG53" i="65" s="1"/>
  <c r="D55" i="65"/>
  <c r="E55" i="65" s="1"/>
  <c r="F55" i="65" s="1"/>
  <c r="G55" i="65" s="1"/>
  <c r="H55" i="65" s="1"/>
  <c r="I55" i="65" s="1"/>
  <c r="J55" i="65" s="1"/>
  <c r="K55" i="65" s="1"/>
  <c r="AM55" i="65"/>
  <c r="C56" i="65"/>
  <c r="O56" i="65"/>
  <c r="L56" i="65"/>
  <c r="M56" i="65" s="1"/>
  <c r="Q54" i="65"/>
  <c r="R54" i="65"/>
  <c r="S54" i="65" s="1"/>
  <c r="AV54" i="65"/>
  <c r="AF54" i="65"/>
  <c r="AH54" i="65"/>
  <c r="AE54" i="65"/>
  <c r="AO55" i="63" a="1"/>
  <c r="AO55" i="63" s="1"/>
  <c r="B57" i="65" s="1"/>
  <c r="N56" i="65" l="1"/>
  <c r="U56" i="65" s="1"/>
  <c r="P56" i="65"/>
  <c r="AB53" i="65"/>
  <c r="AC53" i="65" s="1"/>
  <c r="AD53" i="65" s="1"/>
  <c r="Y54" i="65"/>
  <c r="AG54" i="65" s="1"/>
  <c r="L57" i="65"/>
  <c r="M57" i="65" s="1"/>
  <c r="C57" i="65"/>
  <c r="O57" i="65"/>
  <c r="AF55" i="65"/>
  <c r="AV55" i="65"/>
  <c r="AH55" i="65"/>
  <c r="R55" i="65"/>
  <c r="S55" i="65" s="1"/>
  <c r="Y55" i="65" s="1"/>
  <c r="Q55" i="65"/>
  <c r="AE55" i="65"/>
  <c r="AM56" i="65"/>
  <c r="D56" i="65"/>
  <c r="E56" i="65" s="1"/>
  <c r="F56" i="65" s="1"/>
  <c r="G56" i="65" s="1"/>
  <c r="H56" i="65" s="1"/>
  <c r="I56" i="65" s="1"/>
  <c r="J56" i="65" s="1"/>
  <c r="K56" i="65" s="1"/>
  <c r="AO56" i="63" a="1"/>
  <c r="AO56" i="63" s="1"/>
  <c r="B58" i="65" s="1"/>
  <c r="N57" i="65" l="1"/>
  <c r="U57" i="65" s="1"/>
  <c r="P57" i="65"/>
  <c r="AB54" i="65"/>
  <c r="AC54" i="65" s="1"/>
  <c r="AD54" i="65" s="1"/>
  <c r="AB55" i="65"/>
  <c r="AC55" i="65" s="1"/>
  <c r="AD55" i="65" s="1"/>
  <c r="L58" i="65"/>
  <c r="M58" i="65" s="1"/>
  <c r="C58" i="65"/>
  <c r="O58" i="65"/>
  <c r="AG55" i="65"/>
  <c r="D57" i="65"/>
  <c r="E57" i="65" s="1"/>
  <c r="F57" i="65" s="1"/>
  <c r="G57" i="65" s="1"/>
  <c r="H57" i="65" s="1"/>
  <c r="I57" i="65" s="1"/>
  <c r="J57" i="65" s="1"/>
  <c r="K57" i="65" s="1"/>
  <c r="AM57" i="65"/>
  <c r="R56" i="65"/>
  <c r="S56" i="65" s="1"/>
  <c r="Q56" i="65"/>
  <c r="AF56" i="65"/>
  <c r="AH56" i="65"/>
  <c r="AE56" i="65"/>
  <c r="AV56" i="65"/>
  <c r="AO57" i="63" a="1"/>
  <c r="AO57" i="63" s="1"/>
  <c r="B59" i="65" s="1"/>
  <c r="N58" i="65" l="1"/>
  <c r="U58" i="65" s="1"/>
  <c r="P58" i="65"/>
  <c r="Y56" i="65"/>
  <c r="AB56" i="65" s="1"/>
  <c r="AC56" i="65" s="1"/>
  <c r="AD56" i="65" s="1"/>
  <c r="C59" i="65"/>
  <c r="O59" i="65"/>
  <c r="L59" i="65"/>
  <c r="M59" i="65" s="1"/>
  <c r="AH57" i="65"/>
  <c r="R57" i="65"/>
  <c r="S57" i="65" s="1"/>
  <c r="AF57" i="65"/>
  <c r="Q57" i="65"/>
  <c r="AV57" i="65"/>
  <c r="AE57" i="65"/>
  <c r="D58" i="65"/>
  <c r="E58" i="65" s="1"/>
  <c r="F58" i="65" s="1"/>
  <c r="G58" i="65" s="1"/>
  <c r="H58" i="65" s="1"/>
  <c r="I58" i="65" s="1"/>
  <c r="J58" i="65" s="1"/>
  <c r="K58" i="65" s="1"/>
  <c r="AM58" i="65"/>
  <c r="AO58" i="63" a="1"/>
  <c r="AO58" i="63" s="1"/>
  <c r="B60" i="65" s="1"/>
  <c r="N59" i="65" l="1"/>
  <c r="U59" i="65" s="1"/>
  <c r="P59" i="65"/>
  <c r="Y57" i="65"/>
  <c r="AB57" i="65" s="1"/>
  <c r="AC57" i="65" s="1"/>
  <c r="AD57" i="65" s="1"/>
  <c r="AG56" i="65"/>
  <c r="AO59" i="63" a="1"/>
  <c r="AO59" i="63" s="1"/>
  <c r="B61" i="65" s="1"/>
  <c r="AM59" i="65"/>
  <c r="D59" i="65"/>
  <c r="E59" i="65" s="1"/>
  <c r="F59" i="65" s="1"/>
  <c r="G59" i="65" s="1"/>
  <c r="H59" i="65" s="1"/>
  <c r="I59" i="65" s="1"/>
  <c r="J59" i="65" s="1"/>
  <c r="K59" i="65" s="1"/>
  <c r="L60" i="65"/>
  <c r="M60" i="65" s="1"/>
  <c r="C60" i="65"/>
  <c r="O60" i="65"/>
  <c r="AV58" i="65"/>
  <c r="AE58" i="65"/>
  <c r="AF58" i="65"/>
  <c r="R58" i="65"/>
  <c r="S58" i="65" s="1"/>
  <c r="AH58" i="65"/>
  <c r="Q58" i="65"/>
  <c r="N60" i="65" l="1"/>
  <c r="U60" i="65" s="1"/>
  <c r="P60" i="65"/>
  <c r="AG57" i="65"/>
  <c r="Y58" i="65"/>
  <c r="AB58" i="65" s="1"/>
  <c r="AC58" i="65" s="1"/>
  <c r="AD58" i="65" s="1"/>
  <c r="R59" i="65"/>
  <c r="S59" i="65" s="1"/>
  <c r="Y59" i="65" s="1"/>
  <c r="AV59" i="65"/>
  <c r="Q59" i="65"/>
  <c r="AE59" i="65"/>
  <c r="AF59" i="65"/>
  <c r="AH59" i="65"/>
  <c r="D60" i="65"/>
  <c r="E60" i="65" s="1"/>
  <c r="F60" i="65" s="1"/>
  <c r="G60" i="65" s="1"/>
  <c r="H60" i="65" s="1"/>
  <c r="I60" i="65" s="1"/>
  <c r="J60" i="65" s="1"/>
  <c r="K60" i="65" s="1"/>
  <c r="AM60" i="65"/>
  <c r="AO60" i="63" a="1"/>
  <c r="AO60" i="63" s="1"/>
  <c r="B62" i="65" s="1"/>
  <c r="O61" i="65"/>
  <c r="L61" i="65"/>
  <c r="M61" i="65" s="1"/>
  <c r="C61" i="65"/>
  <c r="N61" i="65" l="1"/>
  <c r="U61" i="65" s="1"/>
  <c r="P61" i="65"/>
  <c r="AG58" i="65"/>
  <c r="AB59" i="65"/>
  <c r="AC59" i="65" s="1"/>
  <c r="AD59" i="65" s="1"/>
  <c r="AM61" i="65"/>
  <c r="D61" i="65"/>
  <c r="E61" i="65" s="1"/>
  <c r="F61" i="65" s="1"/>
  <c r="G61" i="65" s="1"/>
  <c r="H61" i="65" s="1"/>
  <c r="I61" i="65" s="1"/>
  <c r="J61" i="65" s="1"/>
  <c r="K61" i="65" s="1"/>
  <c r="L62" i="65"/>
  <c r="M62" i="65" s="1"/>
  <c r="O62" i="65"/>
  <c r="C62" i="65"/>
  <c r="AV60" i="65"/>
  <c r="AE60" i="65"/>
  <c r="AF60" i="65"/>
  <c r="AH60" i="65"/>
  <c r="R60" i="65"/>
  <c r="S60" i="65" s="1"/>
  <c r="Q60" i="65"/>
  <c r="AG59" i="65"/>
  <c r="AO61" i="63" a="1"/>
  <c r="AO61" i="63" s="1"/>
  <c r="B63" i="65" s="1"/>
  <c r="N62" i="65" l="1"/>
  <c r="U62" i="65" s="1"/>
  <c r="P62" i="65"/>
  <c r="Y60" i="65"/>
  <c r="AB60" i="65" s="1"/>
  <c r="AC60" i="65" s="1"/>
  <c r="AD60" i="65" s="1"/>
  <c r="O63" i="65"/>
  <c r="L63" i="65"/>
  <c r="M63" i="65" s="1"/>
  <c r="C63" i="65"/>
  <c r="AM62" i="65"/>
  <c r="D62" i="65"/>
  <c r="E62" i="65" s="1"/>
  <c r="F62" i="65" s="1"/>
  <c r="G62" i="65" s="1"/>
  <c r="H62" i="65" s="1"/>
  <c r="I62" i="65" s="1"/>
  <c r="J62" i="65" s="1"/>
  <c r="K62" i="65" s="1"/>
  <c r="AO62" i="63" a="1"/>
  <c r="AO62" i="63" s="1"/>
  <c r="B64" i="65" s="1"/>
  <c r="AH61" i="65"/>
  <c r="Q61" i="65"/>
  <c r="AF61" i="65"/>
  <c r="R61" i="65"/>
  <c r="S61" i="65" s="1"/>
  <c r="AE61" i="65"/>
  <c r="AV61" i="65"/>
  <c r="N63" i="65" l="1"/>
  <c r="U63" i="65" s="1"/>
  <c r="P63" i="65"/>
  <c r="AG60" i="65"/>
  <c r="Y61" i="65"/>
  <c r="AB61" i="65" s="1"/>
  <c r="AC61" i="65" s="1"/>
  <c r="AD61" i="65" s="1"/>
  <c r="AO63" i="63" a="1"/>
  <c r="AO63" i="63" s="1"/>
  <c r="B65" i="65" s="1"/>
  <c r="AH62" i="65"/>
  <c r="AF62" i="65"/>
  <c r="R62" i="65"/>
  <c r="S62" i="65" s="1"/>
  <c r="Y62" i="65" s="1"/>
  <c r="AV62" i="65"/>
  <c r="Q62" i="65"/>
  <c r="AE62" i="65"/>
  <c r="AM63" i="65"/>
  <c r="D63" i="65"/>
  <c r="E63" i="65" s="1"/>
  <c r="F63" i="65" s="1"/>
  <c r="G63" i="65" s="1"/>
  <c r="H63" i="65" s="1"/>
  <c r="I63" i="65" s="1"/>
  <c r="J63" i="65" s="1"/>
  <c r="K63" i="65" s="1"/>
  <c r="C64" i="65"/>
  <c r="O64" i="65"/>
  <c r="L64" i="65"/>
  <c r="M64" i="65" s="1"/>
  <c r="N64" i="65" l="1"/>
  <c r="U64" i="65" s="1"/>
  <c r="P64" i="65"/>
  <c r="AB62" i="65"/>
  <c r="AC62" i="65" s="1"/>
  <c r="AD62" i="65" s="1"/>
  <c r="AG61" i="65"/>
  <c r="D64" i="65"/>
  <c r="E64" i="65" s="1"/>
  <c r="F64" i="65" s="1"/>
  <c r="G64" i="65" s="1"/>
  <c r="H64" i="65" s="1"/>
  <c r="I64" i="65" s="1"/>
  <c r="J64" i="65" s="1"/>
  <c r="K64" i="65" s="1"/>
  <c r="AM64" i="65"/>
  <c r="AF63" i="65"/>
  <c r="R63" i="65"/>
  <c r="S63" i="65" s="1"/>
  <c r="Y63" i="65" s="1"/>
  <c r="AH63" i="65"/>
  <c r="AE63" i="65"/>
  <c r="AV63" i="65"/>
  <c r="Q63" i="65"/>
  <c r="AO64" i="63" a="1"/>
  <c r="AO64" i="63" s="1"/>
  <c r="B66" i="65" s="1"/>
  <c r="AG62" i="65"/>
  <c r="O65" i="65"/>
  <c r="L65" i="65"/>
  <c r="M65" i="65" s="1"/>
  <c r="C65" i="65"/>
  <c r="N65" i="65" l="1"/>
  <c r="U65" i="65" s="1"/>
  <c r="P65" i="65"/>
  <c r="AB63" i="65"/>
  <c r="AC63" i="65" s="1"/>
  <c r="AD63" i="65" s="1"/>
  <c r="C66" i="65"/>
  <c r="O66" i="65"/>
  <c r="L66" i="65"/>
  <c r="M66" i="65" s="1"/>
  <c r="AV64" i="65"/>
  <c r="Q64" i="65"/>
  <c r="AF64" i="65"/>
  <c r="AE64" i="65"/>
  <c r="AH64" i="65"/>
  <c r="R64" i="65"/>
  <c r="S64" i="65" s="1"/>
  <c r="AO65" i="63" a="1"/>
  <c r="AO65" i="63" s="1"/>
  <c r="B67" i="65" s="1"/>
  <c r="AG63" i="65"/>
  <c r="AM65" i="65"/>
  <c r="D65" i="65"/>
  <c r="E65" i="65" s="1"/>
  <c r="F65" i="65" s="1"/>
  <c r="G65" i="65" s="1"/>
  <c r="H65" i="65" s="1"/>
  <c r="I65" i="65" s="1"/>
  <c r="J65" i="65" s="1"/>
  <c r="K65" i="65" s="1"/>
  <c r="N66" i="65" l="1"/>
  <c r="U66" i="65" s="1"/>
  <c r="P66" i="65"/>
  <c r="Y64" i="65"/>
  <c r="AB64" i="65" s="1"/>
  <c r="AC64" i="65" s="1"/>
  <c r="AD64" i="65" s="1"/>
  <c r="O67" i="65"/>
  <c r="L67" i="65"/>
  <c r="M67" i="65" s="1"/>
  <c r="C67" i="65"/>
  <c r="AO66" i="63" a="1"/>
  <c r="AO66" i="63" s="1"/>
  <c r="B68" i="65" s="1"/>
  <c r="R65" i="65"/>
  <c r="S65" i="65" s="1"/>
  <c r="AE65" i="65"/>
  <c r="AV65" i="65"/>
  <c r="AH65" i="65"/>
  <c r="Q65" i="65"/>
  <c r="AF65" i="65"/>
  <c r="AM66" i="65"/>
  <c r="D66" i="65"/>
  <c r="E66" i="65" s="1"/>
  <c r="F66" i="65" s="1"/>
  <c r="G66" i="65" s="1"/>
  <c r="H66" i="65" s="1"/>
  <c r="I66" i="65" s="1"/>
  <c r="J66" i="65" s="1"/>
  <c r="K66" i="65" s="1"/>
  <c r="N67" i="65" l="1"/>
  <c r="U67" i="65" s="1"/>
  <c r="P67" i="65"/>
  <c r="AG64" i="65"/>
  <c r="Y65" i="65"/>
  <c r="AG65" i="65" s="1"/>
  <c r="AF66" i="65"/>
  <c r="AH66" i="65"/>
  <c r="R66" i="65"/>
  <c r="S66" i="65" s="1"/>
  <c r="AV66" i="65"/>
  <c r="Q66" i="65"/>
  <c r="AE66" i="65"/>
  <c r="D67" i="65"/>
  <c r="E67" i="65" s="1"/>
  <c r="F67" i="65" s="1"/>
  <c r="G67" i="65" s="1"/>
  <c r="H67" i="65" s="1"/>
  <c r="I67" i="65" s="1"/>
  <c r="J67" i="65" s="1"/>
  <c r="K67" i="65" s="1"/>
  <c r="AM67" i="65"/>
  <c r="O68" i="65"/>
  <c r="L68" i="65"/>
  <c r="M68" i="65" s="1"/>
  <c r="C68" i="65"/>
  <c r="AO67" i="63" a="1"/>
  <c r="AO67" i="63" s="1"/>
  <c r="B69" i="65" s="1"/>
  <c r="N68" i="65" l="1"/>
  <c r="U68" i="65" s="1"/>
  <c r="P68" i="65"/>
  <c r="AB65" i="65"/>
  <c r="AC65" i="65" s="1"/>
  <c r="AD65" i="65" s="1"/>
  <c r="Y66" i="65"/>
  <c r="AB66" i="65" s="1"/>
  <c r="AC66" i="65" s="1"/>
  <c r="AD66" i="65" s="1"/>
  <c r="AO68" i="63" a="1"/>
  <c r="AO68" i="63" s="1"/>
  <c r="B70" i="65" s="1"/>
  <c r="L69" i="65"/>
  <c r="M69" i="65" s="1"/>
  <c r="C69" i="65"/>
  <c r="O69" i="65"/>
  <c r="D68" i="65"/>
  <c r="E68" i="65" s="1"/>
  <c r="F68" i="65" s="1"/>
  <c r="G68" i="65" s="1"/>
  <c r="H68" i="65" s="1"/>
  <c r="I68" i="65" s="1"/>
  <c r="J68" i="65" s="1"/>
  <c r="K68" i="65" s="1"/>
  <c r="AM68" i="65"/>
  <c r="AF67" i="65"/>
  <c r="Q67" i="65"/>
  <c r="AH67" i="65"/>
  <c r="AE67" i="65"/>
  <c r="AV67" i="65"/>
  <c r="R67" i="65"/>
  <c r="S67" i="65" s="1"/>
  <c r="N69" i="65" l="1"/>
  <c r="U69" i="65" s="1"/>
  <c r="P69" i="65"/>
  <c r="AG66" i="65"/>
  <c r="Y67" i="65"/>
  <c r="AB67" i="65" s="1"/>
  <c r="AC67" i="65" s="1"/>
  <c r="AD67" i="65" s="1"/>
  <c r="AO69" i="63" a="1"/>
  <c r="AO69" i="63" s="1"/>
  <c r="B71" i="65" s="1"/>
  <c r="D69" i="65"/>
  <c r="E69" i="65" s="1"/>
  <c r="F69" i="65" s="1"/>
  <c r="G69" i="65" s="1"/>
  <c r="H69" i="65" s="1"/>
  <c r="I69" i="65" s="1"/>
  <c r="J69" i="65" s="1"/>
  <c r="K69" i="65" s="1"/>
  <c r="AM69" i="65"/>
  <c r="Q68" i="65"/>
  <c r="AF68" i="65"/>
  <c r="AV68" i="65"/>
  <c r="AE68" i="65"/>
  <c r="AH68" i="65"/>
  <c r="R68" i="65"/>
  <c r="S68" i="65" s="1"/>
  <c r="O70" i="65"/>
  <c r="C70" i="65"/>
  <c r="L70" i="65"/>
  <c r="M70" i="65" s="1"/>
  <c r="N70" i="65" l="1"/>
  <c r="U70" i="65" s="1"/>
  <c r="P70" i="65"/>
  <c r="AG67" i="65"/>
  <c r="Y68" i="65"/>
  <c r="AB68" i="65" s="1"/>
  <c r="AC68" i="65" s="1"/>
  <c r="AD68" i="65" s="1"/>
  <c r="AH69" i="65"/>
  <c r="AE69" i="65"/>
  <c r="R69" i="65"/>
  <c r="S69" i="65" s="1"/>
  <c r="Y69" i="65" s="1"/>
  <c r="AV69" i="65"/>
  <c r="AF69" i="65"/>
  <c r="Q69" i="65"/>
  <c r="AO70" i="63" a="1"/>
  <c r="AO70" i="63" s="1"/>
  <c r="B72" i="65" s="1"/>
  <c r="AM70" i="65"/>
  <c r="D70" i="65"/>
  <c r="E70" i="65" s="1"/>
  <c r="F70" i="65" s="1"/>
  <c r="G70" i="65" s="1"/>
  <c r="H70" i="65" s="1"/>
  <c r="I70" i="65" s="1"/>
  <c r="J70" i="65" s="1"/>
  <c r="K70" i="65" s="1"/>
  <c r="C71" i="65"/>
  <c r="O71" i="65"/>
  <c r="L71" i="65"/>
  <c r="M71" i="65" s="1"/>
  <c r="N71" i="65" l="1"/>
  <c r="U71" i="65" s="1"/>
  <c r="P71" i="65"/>
  <c r="AG68" i="65"/>
  <c r="AB69" i="65"/>
  <c r="AC69" i="65" s="1"/>
  <c r="AD69" i="65" s="1"/>
  <c r="O72" i="65"/>
  <c r="L72" i="65"/>
  <c r="M72" i="65" s="1"/>
  <c r="C72" i="65"/>
  <c r="AM71" i="65"/>
  <c r="D71" i="65"/>
  <c r="E71" i="65" s="1"/>
  <c r="F71" i="65" s="1"/>
  <c r="G71" i="65" s="1"/>
  <c r="H71" i="65" s="1"/>
  <c r="I71" i="65" s="1"/>
  <c r="J71" i="65" s="1"/>
  <c r="K71" i="65" s="1"/>
  <c r="R70" i="65"/>
  <c r="S70" i="65" s="1"/>
  <c r="AE70" i="65"/>
  <c r="AV70" i="65"/>
  <c r="AF70" i="65"/>
  <c r="AH70" i="65"/>
  <c r="Q70" i="65"/>
  <c r="AG69" i="65"/>
  <c r="AO71" i="63" a="1"/>
  <c r="AO71" i="63" s="1"/>
  <c r="B73" i="65" s="1"/>
  <c r="N72" i="65" l="1"/>
  <c r="U72" i="65" s="1"/>
  <c r="P72" i="65"/>
  <c r="Y70" i="65"/>
  <c r="AB70" i="65" s="1"/>
  <c r="AC70" i="65" s="1"/>
  <c r="AD70" i="65" s="1"/>
  <c r="D72" i="65"/>
  <c r="E72" i="65" s="1"/>
  <c r="F72" i="65" s="1"/>
  <c r="G72" i="65" s="1"/>
  <c r="H72" i="65" s="1"/>
  <c r="I72" i="65" s="1"/>
  <c r="J72" i="65" s="1"/>
  <c r="K72" i="65" s="1"/>
  <c r="AM72" i="65"/>
  <c r="L73" i="65"/>
  <c r="M73" i="65" s="1"/>
  <c r="C73" i="65"/>
  <c r="O73" i="65"/>
  <c r="AE71" i="65"/>
  <c r="Q71" i="65"/>
  <c r="R71" i="65"/>
  <c r="S71" i="65" s="1"/>
  <c r="AH71" i="65"/>
  <c r="AF71" i="65"/>
  <c r="AV71" i="65"/>
  <c r="AO72" i="63" a="1"/>
  <c r="AO72" i="63" s="1"/>
  <c r="B74" i="65" s="1"/>
  <c r="N73" i="65" l="1"/>
  <c r="U73" i="65" s="1"/>
  <c r="P73" i="65"/>
  <c r="AG70" i="65"/>
  <c r="Y71" i="65"/>
  <c r="AB71" i="65" s="1"/>
  <c r="AC71" i="65" s="1"/>
  <c r="AD71" i="65" s="1"/>
  <c r="AO73" i="63" a="1"/>
  <c r="AO73" i="63" s="1"/>
  <c r="B75" i="65" s="1"/>
  <c r="Q72" i="65"/>
  <c r="AH72" i="65"/>
  <c r="R72" i="65"/>
  <c r="S72" i="65" s="1"/>
  <c r="AE72" i="65"/>
  <c r="AF72" i="65"/>
  <c r="AV72" i="65"/>
  <c r="L74" i="65"/>
  <c r="M74" i="65" s="1"/>
  <c r="C74" i="65"/>
  <c r="O74" i="65"/>
  <c r="D73" i="65"/>
  <c r="E73" i="65" s="1"/>
  <c r="F73" i="65" s="1"/>
  <c r="G73" i="65" s="1"/>
  <c r="H73" i="65" s="1"/>
  <c r="I73" i="65" s="1"/>
  <c r="J73" i="65" s="1"/>
  <c r="K73" i="65" s="1"/>
  <c r="AM73" i="65"/>
  <c r="N74" i="65" l="1"/>
  <c r="U74" i="65" s="1"/>
  <c r="P74" i="65"/>
  <c r="AG71" i="65"/>
  <c r="Y72" i="65"/>
  <c r="AB72" i="65" s="1"/>
  <c r="AC72" i="65" s="1"/>
  <c r="AD72" i="65" s="1"/>
  <c r="AO74" i="63" a="1"/>
  <c r="AO74" i="63" s="1"/>
  <c r="B76" i="65" s="1"/>
  <c r="AF73" i="65"/>
  <c r="R73" i="65"/>
  <c r="S73" i="65" s="1"/>
  <c r="AV73" i="65"/>
  <c r="AE73" i="65"/>
  <c r="Q73" i="65"/>
  <c r="AH73" i="65"/>
  <c r="D74" i="65"/>
  <c r="E74" i="65" s="1"/>
  <c r="F74" i="65" s="1"/>
  <c r="G74" i="65" s="1"/>
  <c r="H74" i="65" s="1"/>
  <c r="I74" i="65" s="1"/>
  <c r="J74" i="65" s="1"/>
  <c r="K74" i="65" s="1"/>
  <c r="AM74" i="65"/>
  <c r="C75" i="65"/>
  <c r="L75" i="65"/>
  <c r="M75" i="65" s="1"/>
  <c r="O75" i="65"/>
  <c r="N75" i="65" l="1"/>
  <c r="U75" i="65" s="1"/>
  <c r="P75" i="65"/>
  <c r="Y73" i="65"/>
  <c r="AB73" i="65" s="1"/>
  <c r="AC73" i="65" s="1"/>
  <c r="AD73" i="65" s="1"/>
  <c r="AG72" i="65"/>
  <c r="L76" i="65"/>
  <c r="M76" i="65" s="1"/>
  <c r="O76" i="65"/>
  <c r="C76" i="65"/>
  <c r="AM75" i="65"/>
  <c r="D75" i="65"/>
  <c r="E75" i="65" s="1"/>
  <c r="F75" i="65" s="1"/>
  <c r="G75" i="65" s="1"/>
  <c r="H75" i="65" s="1"/>
  <c r="I75" i="65" s="1"/>
  <c r="J75" i="65" s="1"/>
  <c r="K75" i="65" s="1"/>
  <c r="AO75" i="63" a="1"/>
  <c r="AO75" i="63" s="1"/>
  <c r="B77" i="65" s="1"/>
  <c r="AV74" i="65"/>
  <c r="Q74" i="65"/>
  <c r="AH74" i="65"/>
  <c r="R74" i="65"/>
  <c r="S74" i="65" s="1"/>
  <c r="Y74" i="65" s="1"/>
  <c r="AF74" i="65"/>
  <c r="AE74" i="65"/>
  <c r="N76" i="65" l="1"/>
  <c r="U76" i="65" s="1"/>
  <c r="P76" i="65"/>
  <c r="AG73" i="65"/>
  <c r="AB74" i="65"/>
  <c r="AC74" i="65" s="1"/>
  <c r="AD74" i="65" s="1"/>
  <c r="AO76" i="63" a="1"/>
  <c r="AO76" i="63" s="1"/>
  <c r="B78" i="65" s="1"/>
  <c r="AG74" i="65"/>
  <c r="Q75" i="65"/>
  <c r="AE75" i="65"/>
  <c r="R75" i="65"/>
  <c r="S75" i="65" s="1"/>
  <c r="AF75" i="65"/>
  <c r="AH75" i="65"/>
  <c r="AV75" i="65"/>
  <c r="D76" i="65"/>
  <c r="E76" i="65" s="1"/>
  <c r="F76" i="65" s="1"/>
  <c r="G76" i="65" s="1"/>
  <c r="H76" i="65" s="1"/>
  <c r="I76" i="65" s="1"/>
  <c r="J76" i="65" s="1"/>
  <c r="K76" i="65" s="1"/>
  <c r="AM76" i="65"/>
  <c r="C77" i="65"/>
  <c r="O77" i="65"/>
  <c r="L77" i="65"/>
  <c r="M77" i="65" s="1"/>
  <c r="N77" i="65" l="1"/>
  <c r="U77" i="65" s="1"/>
  <c r="P77" i="65"/>
  <c r="Y75" i="65"/>
  <c r="AB75" i="65" s="1"/>
  <c r="AC75" i="65" s="1"/>
  <c r="AD75" i="65" s="1"/>
  <c r="AH76" i="65"/>
  <c r="R76" i="65"/>
  <c r="S76" i="65" s="1"/>
  <c r="AE76" i="65"/>
  <c r="Q76" i="65"/>
  <c r="AF76" i="65"/>
  <c r="AV76" i="65"/>
  <c r="D77" i="65"/>
  <c r="E77" i="65" s="1"/>
  <c r="F77" i="65" s="1"/>
  <c r="G77" i="65" s="1"/>
  <c r="H77" i="65" s="1"/>
  <c r="I77" i="65" s="1"/>
  <c r="J77" i="65" s="1"/>
  <c r="K77" i="65" s="1"/>
  <c r="AM77" i="65"/>
  <c r="O78" i="65"/>
  <c r="C78" i="65"/>
  <c r="L78" i="65"/>
  <c r="M78" i="65" s="1"/>
  <c r="AO77" i="63" a="1"/>
  <c r="AO77" i="63" s="1"/>
  <c r="B79" i="65" s="1"/>
  <c r="N78" i="65" l="1"/>
  <c r="U78" i="65" s="1"/>
  <c r="P78" i="65"/>
  <c r="AG75" i="65"/>
  <c r="Y76" i="65"/>
  <c r="AB76" i="65" s="1"/>
  <c r="AC76" i="65" s="1"/>
  <c r="AD76" i="65" s="1"/>
  <c r="D78" i="65"/>
  <c r="E78" i="65" s="1"/>
  <c r="F78" i="65" s="1"/>
  <c r="G78" i="65" s="1"/>
  <c r="H78" i="65" s="1"/>
  <c r="I78" i="65" s="1"/>
  <c r="J78" i="65" s="1"/>
  <c r="K78" i="65" s="1"/>
  <c r="AM78" i="65"/>
  <c r="AO78" i="63" a="1"/>
  <c r="AO78" i="63" s="1"/>
  <c r="B80" i="65" s="1"/>
  <c r="R77" i="65"/>
  <c r="S77" i="65" s="1"/>
  <c r="Y77" i="65" s="1"/>
  <c r="Q77" i="65"/>
  <c r="AH77" i="65"/>
  <c r="AE77" i="65"/>
  <c r="AF77" i="65"/>
  <c r="AV77" i="65"/>
  <c r="L79" i="65"/>
  <c r="M79" i="65" s="1"/>
  <c r="O79" i="65"/>
  <c r="C79" i="65"/>
  <c r="N79" i="65" l="1"/>
  <c r="U79" i="65" s="1"/>
  <c r="P79" i="65"/>
  <c r="AG76" i="65"/>
  <c r="AB77" i="65"/>
  <c r="AC77" i="65" s="1"/>
  <c r="AD77" i="65" s="1"/>
  <c r="AM79" i="65"/>
  <c r="D79" i="65"/>
  <c r="E79" i="65" s="1"/>
  <c r="F79" i="65" s="1"/>
  <c r="G79" i="65" s="1"/>
  <c r="H79" i="65" s="1"/>
  <c r="I79" i="65" s="1"/>
  <c r="J79" i="65" s="1"/>
  <c r="K79" i="65" s="1"/>
  <c r="R78" i="65"/>
  <c r="S78" i="65" s="1"/>
  <c r="AF78" i="65"/>
  <c r="AH78" i="65"/>
  <c r="AE78" i="65"/>
  <c r="AV78" i="65"/>
  <c r="Q78" i="65"/>
  <c r="AO79" i="63" a="1"/>
  <c r="AO79" i="63" s="1"/>
  <c r="B81" i="65" s="1"/>
  <c r="AG77" i="65"/>
  <c r="L80" i="65"/>
  <c r="M80" i="65" s="1"/>
  <c r="C80" i="65"/>
  <c r="O80" i="65"/>
  <c r="N80" i="65" l="1"/>
  <c r="U80" i="65" s="1"/>
  <c r="P80" i="65"/>
  <c r="Y78" i="65"/>
  <c r="AB78" i="65" s="1"/>
  <c r="AC78" i="65" s="1"/>
  <c r="AD78" i="65" s="1"/>
  <c r="L81" i="65"/>
  <c r="M81" i="65" s="1"/>
  <c r="C81" i="65"/>
  <c r="O81" i="65"/>
  <c r="AF79" i="65"/>
  <c r="AH79" i="65"/>
  <c r="AV79" i="65"/>
  <c r="R79" i="65"/>
  <c r="S79" i="65" s="1"/>
  <c r="Q79" i="65"/>
  <c r="AE79" i="65"/>
  <c r="AM80" i="65"/>
  <c r="D80" i="65"/>
  <c r="E80" i="65" s="1"/>
  <c r="F80" i="65" s="1"/>
  <c r="G80" i="65" s="1"/>
  <c r="H80" i="65" s="1"/>
  <c r="I80" i="65" s="1"/>
  <c r="J80" i="65" s="1"/>
  <c r="K80" i="65" s="1"/>
  <c r="AO80" i="63" a="1"/>
  <c r="AO80" i="63" s="1"/>
  <c r="B82" i="65" s="1"/>
  <c r="N81" i="65" l="1"/>
  <c r="U81" i="65" s="1"/>
  <c r="P81" i="65"/>
  <c r="AG78" i="65"/>
  <c r="Y79" i="65"/>
  <c r="AB79" i="65" s="1"/>
  <c r="AC79" i="65" s="1"/>
  <c r="AD79" i="65" s="1"/>
  <c r="AO81" i="63" a="1"/>
  <c r="AO81" i="63" s="1"/>
  <c r="B83" i="65" s="1"/>
  <c r="AF80" i="65"/>
  <c r="AV80" i="65"/>
  <c r="R80" i="65"/>
  <c r="S80" i="65" s="1"/>
  <c r="Y80" i="65" s="1"/>
  <c r="AH80" i="65"/>
  <c r="Q80" i="65"/>
  <c r="AE80" i="65"/>
  <c r="D81" i="65"/>
  <c r="E81" i="65" s="1"/>
  <c r="F81" i="65" s="1"/>
  <c r="G81" i="65" s="1"/>
  <c r="H81" i="65" s="1"/>
  <c r="I81" i="65" s="1"/>
  <c r="J81" i="65" s="1"/>
  <c r="K81" i="65" s="1"/>
  <c r="AM81" i="65"/>
  <c r="C82" i="65"/>
  <c r="O82" i="65"/>
  <c r="L82" i="65"/>
  <c r="M82" i="65" s="1"/>
  <c r="N82" i="65" l="1"/>
  <c r="U82" i="65" s="1"/>
  <c r="P82" i="65"/>
  <c r="AB80" i="65"/>
  <c r="AC80" i="65" s="1"/>
  <c r="AD80" i="65" s="1"/>
  <c r="AG79" i="65"/>
  <c r="AG80" i="65"/>
  <c r="O83" i="65"/>
  <c r="L83" i="65"/>
  <c r="M83" i="65" s="1"/>
  <c r="C83" i="65"/>
  <c r="AO82" i="63" a="1"/>
  <c r="AO82" i="63" s="1"/>
  <c r="B84" i="65" s="1"/>
  <c r="AM82" i="65"/>
  <c r="D82" i="65"/>
  <c r="E82" i="65" s="1"/>
  <c r="F82" i="65" s="1"/>
  <c r="G82" i="65" s="1"/>
  <c r="H82" i="65" s="1"/>
  <c r="I82" i="65" s="1"/>
  <c r="J82" i="65" s="1"/>
  <c r="K82" i="65" s="1"/>
  <c r="AE81" i="65"/>
  <c r="AF81" i="65"/>
  <c r="R81" i="65"/>
  <c r="S81" i="65" s="1"/>
  <c r="AH81" i="65"/>
  <c r="Q81" i="65"/>
  <c r="AV81" i="65"/>
  <c r="N83" i="65" l="1"/>
  <c r="U83" i="65" s="1"/>
  <c r="P83" i="65"/>
  <c r="Y81" i="65"/>
  <c r="AB81" i="65" s="1"/>
  <c r="AC81" i="65" s="1"/>
  <c r="AD81" i="65" s="1"/>
  <c r="C84" i="65"/>
  <c r="L84" i="65"/>
  <c r="M84" i="65" s="1"/>
  <c r="O84" i="65"/>
  <c r="D83" i="65"/>
  <c r="E83" i="65" s="1"/>
  <c r="F83" i="65" s="1"/>
  <c r="G83" i="65" s="1"/>
  <c r="H83" i="65" s="1"/>
  <c r="I83" i="65" s="1"/>
  <c r="J83" i="65" s="1"/>
  <c r="K83" i="65" s="1"/>
  <c r="AM83" i="65"/>
  <c r="AO83" i="63" a="1"/>
  <c r="AO83" i="63" s="1"/>
  <c r="B85" i="65" s="1"/>
  <c r="Q82" i="65"/>
  <c r="AE82" i="65"/>
  <c r="AF82" i="65"/>
  <c r="AV82" i="65"/>
  <c r="R82" i="65"/>
  <c r="S82" i="65" s="1"/>
  <c r="AH82" i="65"/>
  <c r="N84" i="65" l="1"/>
  <c r="U84" i="65" s="1"/>
  <c r="P84" i="65"/>
  <c r="AG81" i="65"/>
  <c r="Y82" i="65"/>
  <c r="AB82" i="65" s="1"/>
  <c r="AC82" i="65" s="1"/>
  <c r="AD82" i="65" s="1"/>
  <c r="AH83" i="65"/>
  <c r="AE83" i="65"/>
  <c r="R83" i="65"/>
  <c r="S83" i="65" s="1"/>
  <c r="AV83" i="65"/>
  <c r="Q83" i="65"/>
  <c r="AF83" i="65"/>
  <c r="C85" i="65"/>
  <c r="L85" i="65"/>
  <c r="M85" i="65" s="1"/>
  <c r="O85" i="65"/>
  <c r="AO84" i="63" a="1"/>
  <c r="AO84" i="63" s="1"/>
  <c r="B86" i="65" s="1"/>
  <c r="AM84" i="65"/>
  <c r="D84" i="65"/>
  <c r="E84" i="65" s="1"/>
  <c r="F84" i="65" s="1"/>
  <c r="G84" i="65" s="1"/>
  <c r="H84" i="65" s="1"/>
  <c r="I84" i="65" s="1"/>
  <c r="J84" i="65" s="1"/>
  <c r="K84" i="65" s="1"/>
  <c r="N85" i="65" l="1"/>
  <c r="U85" i="65" s="1"/>
  <c r="P85" i="65"/>
  <c r="AG82" i="65"/>
  <c r="Y83" i="65"/>
  <c r="AB83" i="65" s="1"/>
  <c r="AC83" i="65" s="1"/>
  <c r="AD83" i="65" s="1"/>
  <c r="Q84" i="65"/>
  <c r="AH84" i="65"/>
  <c r="AE84" i="65"/>
  <c r="AF84" i="65"/>
  <c r="R84" i="65"/>
  <c r="S84" i="65" s="1"/>
  <c r="Y84" i="65" s="1"/>
  <c r="AV84" i="65"/>
  <c r="C86" i="65"/>
  <c r="L86" i="65"/>
  <c r="M86" i="65" s="1"/>
  <c r="O86" i="65"/>
  <c r="AM85" i="65"/>
  <c r="D85" i="65"/>
  <c r="E85" i="65" s="1"/>
  <c r="F85" i="65" s="1"/>
  <c r="G85" i="65" s="1"/>
  <c r="H85" i="65" s="1"/>
  <c r="I85" i="65" s="1"/>
  <c r="J85" i="65" s="1"/>
  <c r="K85" i="65" s="1"/>
  <c r="AO85" i="63" a="1"/>
  <c r="AO85" i="63" s="1"/>
  <c r="B87" i="65" s="1"/>
  <c r="N86" i="65" l="1"/>
  <c r="U86" i="65" s="1"/>
  <c r="P86" i="65"/>
  <c r="AG83" i="65"/>
  <c r="AB84" i="65"/>
  <c r="AC84" i="65" s="1"/>
  <c r="AD84" i="65" s="1"/>
  <c r="AH85" i="65"/>
  <c r="AV85" i="65"/>
  <c r="AF85" i="65"/>
  <c r="R85" i="65"/>
  <c r="S85" i="65" s="1"/>
  <c r="AE85" i="65"/>
  <c r="Q85" i="65"/>
  <c r="L87" i="65"/>
  <c r="M87" i="65" s="1"/>
  <c r="C87" i="65"/>
  <c r="O87" i="65"/>
  <c r="D86" i="65"/>
  <c r="E86" i="65" s="1"/>
  <c r="F86" i="65" s="1"/>
  <c r="G86" i="65" s="1"/>
  <c r="H86" i="65" s="1"/>
  <c r="I86" i="65" s="1"/>
  <c r="J86" i="65" s="1"/>
  <c r="K86" i="65" s="1"/>
  <c r="AM86" i="65"/>
  <c r="AO86" i="63" a="1"/>
  <c r="AO86" i="63" s="1"/>
  <c r="B88" i="65" s="1"/>
  <c r="AG84" i="65"/>
  <c r="N87" i="65" l="1"/>
  <c r="U87" i="65" s="1"/>
  <c r="P87" i="65"/>
  <c r="Y85" i="65"/>
  <c r="AB85" i="65" s="1"/>
  <c r="AC85" i="65" s="1"/>
  <c r="AD85" i="65" s="1"/>
  <c r="C88" i="65"/>
  <c r="L88" i="65"/>
  <c r="M88" i="65" s="1"/>
  <c r="O88" i="65"/>
  <c r="AV86" i="65"/>
  <c r="Q86" i="65"/>
  <c r="AH86" i="65"/>
  <c r="AF86" i="65"/>
  <c r="AE86" i="65"/>
  <c r="R86" i="65"/>
  <c r="S86" i="65" s="1"/>
  <c r="AO87" i="63" a="1"/>
  <c r="AO87" i="63" s="1"/>
  <c r="B89" i="65" s="1"/>
  <c r="AM87" i="65"/>
  <c r="D87" i="65"/>
  <c r="E87" i="65" s="1"/>
  <c r="F87" i="65" s="1"/>
  <c r="G87" i="65" s="1"/>
  <c r="H87" i="65" s="1"/>
  <c r="I87" i="65" s="1"/>
  <c r="J87" i="65" s="1"/>
  <c r="K87" i="65" s="1"/>
  <c r="N88" i="65" l="1"/>
  <c r="P88" i="65"/>
  <c r="AG85" i="65"/>
  <c r="Y86" i="65"/>
  <c r="AG86" i="65" s="1"/>
  <c r="O89" i="65"/>
  <c r="L89" i="65"/>
  <c r="M89" i="65" s="1"/>
  <c r="C89" i="65"/>
  <c r="AO88" i="63" a="1"/>
  <c r="AO88" i="63" s="1"/>
  <c r="B90" i="65" s="1"/>
  <c r="AF87" i="65"/>
  <c r="AV87" i="65"/>
  <c r="Q87" i="65"/>
  <c r="AE87" i="65"/>
  <c r="AH87" i="65"/>
  <c r="R87" i="65"/>
  <c r="S87" i="65" s="1"/>
  <c r="AM88" i="65"/>
  <c r="D88" i="65"/>
  <c r="E88" i="65" s="1"/>
  <c r="F88" i="65" s="1"/>
  <c r="G88" i="65" s="1"/>
  <c r="H88" i="65" s="1"/>
  <c r="I88" i="65" s="1"/>
  <c r="J88" i="65" s="1"/>
  <c r="K88" i="65" s="1"/>
  <c r="U88" i="65"/>
  <c r="N89" i="65" l="1"/>
  <c r="U89" i="65" s="1"/>
  <c r="P89" i="65"/>
  <c r="AB86" i="65"/>
  <c r="AC86" i="65" s="1"/>
  <c r="AD86" i="65" s="1"/>
  <c r="Y87" i="65"/>
  <c r="AB87" i="65" s="1"/>
  <c r="AC87" i="65" s="1"/>
  <c r="AD87" i="65" s="1"/>
  <c r="Q88" i="65"/>
  <c r="AV88" i="65"/>
  <c r="AE88" i="65"/>
  <c r="R88" i="65"/>
  <c r="S88" i="65" s="1"/>
  <c r="Y88" i="65" s="1"/>
  <c r="AH88" i="65"/>
  <c r="AF88" i="65"/>
  <c r="AM89" i="65"/>
  <c r="D89" i="65"/>
  <c r="E89" i="65" s="1"/>
  <c r="F89" i="65" s="1"/>
  <c r="G89" i="65" s="1"/>
  <c r="H89" i="65" s="1"/>
  <c r="I89" i="65" s="1"/>
  <c r="J89" i="65" s="1"/>
  <c r="K89" i="65" s="1"/>
  <c r="L90" i="65"/>
  <c r="M90" i="65" s="1"/>
  <c r="O90" i="65"/>
  <c r="C90" i="65"/>
  <c r="AO89" i="63" a="1"/>
  <c r="AO89" i="63" s="1"/>
  <c r="B91" i="65" s="1"/>
  <c r="N90" i="65" l="1"/>
  <c r="U90" i="65" s="1"/>
  <c r="P90" i="65"/>
  <c r="AG87" i="65"/>
  <c r="AB88" i="65"/>
  <c r="AC88" i="65" s="1"/>
  <c r="AD88" i="65" s="1"/>
  <c r="AO90" i="63" a="1"/>
  <c r="AO90" i="63" s="1"/>
  <c r="B92" i="65" s="1"/>
  <c r="D90" i="65"/>
  <c r="E90" i="65" s="1"/>
  <c r="F90" i="65" s="1"/>
  <c r="G90" i="65" s="1"/>
  <c r="H90" i="65" s="1"/>
  <c r="I90" i="65" s="1"/>
  <c r="J90" i="65" s="1"/>
  <c r="K90" i="65" s="1"/>
  <c r="AM90" i="65"/>
  <c r="AG88" i="65"/>
  <c r="C91" i="65"/>
  <c r="O91" i="65"/>
  <c r="L91" i="65"/>
  <c r="M91" i="65" s="1"/>
  <c r="Q89" i="65"/>
  <c r="AH89" i="65"/>
  <c r="AV89" i="65"/>
  <c r="AF89" i="65"/>
  <c r="AE89" i="65"/>
  <c r="R89" i="65"/>
  <c r="S89" i="65" s="1"/>
  <c r="N91" i="65" l="1"/>
  <c r="U91" i="65" s="1"/>
  <c r="P91" i="65"/>
  <c r="Y89" i="65"/>
  <c r="AB89" i="65" s="1"/>
  <c r="AC89" i="65" s="1"/>
  <c r="AD89" i="65" s="1"/>
  <c r="AO91" i="63" a="1"/>
  <c r="AO91" i="63" s="1"/>
  <c r="B93" i="65" s="1"/>
  <c r="AM91" i="65"/>
  <c r="D91" i="65"/>
  <c r="E91" i="65" s="1"/>
  <c r="F91" i="65" s="1"/>
  <c r="G91" i="65" s="1"/>
  <c r="H91" i="65" s="1"/>
  <c r="I91" i="65" s="1"/>
  <c r="J91" i="65" s="1"/>
  <c r="K91" i="65" s="1"/>
  <c r="Q90" i="65"/>
  <c r="AV90" i="65"/>
  <c r="R90" i="65"/>
  <c r="S90" i="65" s="1"/>
  <c r="Y90" i="65" s="1"/>
  <c r="AH90" i="65"/>
  <c r="AF90" i="65"/>
  <c r="AE90" i="65"/>
  <c r="O92" i="65"/>
  <c r="L92" i="65"/>
  <c r="M92" i="65" s="1"/>
  <c r="C92" i="65"/>
  <c r="N92" i="65" l="1"/>
  <c r="U92" i="65" s="1"/>
  <c r="P92" i="65"/>
  <c r="AG89" i="65"/>
  <c r="AB90" i="65"/>
  <c r="AC90" i="65" s="1"/>
  <c r="AD90" i="65" s="1"/>
  <c r="AO92" i="63" a="1"/>
  <c r="AO92" i="63" s="1"/>
  <c r="B94" i="65" s="1"/>
  <c r="D92" i="65"/>
  <c r="E92" i="65" s="1"/>
  <c r="F92" i="65" s="1"/>
  <c r="G92" i="65" s="1"/>
  <c r="H92" i="65" s="1"/>
  <c r="I92" i="65" s="1"/>
  <c r="J92" i="65" s="1"/>
  <c r="K92" i="65" s="1"/>
  <c r="AM92" i="65"/>
  <c r="AG90" i="65"/>
  <c r="Q91" i="65"/>
  <c r="R91" i="65"/>
  <c r="S91" i="65" s="1"/>
  <c r="AH91" i="65"/>
  <c r="AF91" i="65"/>
  <c r="AE91" i="65"/>
  <c r="AV91" i="65"/>
  <c r="O93" i="65"/>
  <c r="C93" i="65"/>
  <c r="L93" i="65"/>
  <c r="M93" i="65" s="1"/>
  <c r="N93" i="65" l="1"/>
  <c r="U93" i="65" s="1"/>
  <c r="P93" i="65"/>
  <c r="Y91" i="65"/>
  <c r="AB91" i="65" s="1"/>
  <c r="AC91" i="65" s="1"/>
  <c r="AD91" i="65" s="1"/>
  <c r="Q92" i="65"/>
  <c r="AF92" i="65"/>
  <c r="AE92" i="65"/>
  <c r="AV92" i="65"/>
  <c r="R92" i="65"/>
  <c r="S92" i="65" s="1"/>
  <c r="Y92" i="65" s="1"/>
  <c r="AH92" i="65"/>
  <c r="C94" i="65"/>
  <c r="O94" i="65"/>
  <c r="L94" i="65"/>
  <c r="M94" i="65" s="1"/>
  <c r="D93" i="65"/>
  <c r="E93" i="65" s="1"/>
  <c r="F93" i="65" s="1"/>
  <c r="G93" i="65" s="1"/>
  <c r="H93" i="65" s="1"/>
  <c r="I93" i="65" s="1"/>
  <c r="J93" i="65" s="1"/>
  <c r="K93" i="65" s="1"/>
  <c r="AM93" i="65"/>
  <c r="AO93" i="63" a="1"/>
  <c r="AO93" i="63" s="1"/>
  <c r="B95" i="65" s="1"/>
  <c r="N94" i="65" l="1"/>
  <c r="U94" i="65" s="1"/>
  <c r="P94" i="65"/>
  <c r="AG91" i="65"/>
  <c r="AB92" i="65"/>
  <c r="AC92" i="65" s="1"/>
  <c r="AD92" i="65" s="1"/>
  <c r="AO94" i="63" a="1"/>
  <c r="AO94" i="63" s="1"/>
  <c r="B96" i="65" s="1"/>
  <c r="AF93" i="65"/>
  <c r="Q93" i="65"/>
  <c r="R93" i="65"/>
  <c r="S93" i="65" s="1"/>
  <c r="AE93" i="65"/>
  <c r="AH93" i="65"/>
  <c r="AV93" i="65"/>
  <c r="L95" i="65"/>
  <c r="M95" i="65" s="1"/>
  <c r="O95" i="65"/>
  <c r="C95" i="65"/>
  <c r="AM94" i="65"/>
  <c r="D94" i="65"/>
  <c r="E94" i="65" s="1"/>
  <c r="F94" i="65" s="1"/>
  <c r="G94" i="65" s="1"/>
  <c r="H94" i="65" s="1"/>
  <c r="I94" i="65" s="1"/>
  <c r="J94" i="65" s="1"/>
  <c r="K94" i="65" s="1"/>
  <c r="AG92" i="65"/>
  <c r="N95" i="65" l="1"/>
  <c r="U95" i="65" s="1"/>
  <c r="P95" i="65"/>
  <c r="Y93" i="65"/>
  <c r="AB93" i="65" s="1"/>
  <c r="AC93" i="65" s="1"/>
  <c r="AD93" i="65" s="1"/>
  <c r="AV94" i="65"/>
  <c r="AE94" i="65"/>
  <c r="Q94" i="65"/>
  <c r="AH94" i="65"/>
  <c r="AF94" i="65"/>
  <c r="R94" i="65"/>
  <c r="S94" i="65" s="1"/>
  <c r="AM95" i="65"/>
  <c r="D95" i="65"/>
  <c r="E95" i="65" s="1"/>
  <c r="F95" i="65" s="1"/>
  <c r="G95" i="65" s="1"/>
  <c r="H95" i="65" s="1"/>
  <c r="I95" i="65" s="1"/>
  <c r="J95" i="65" s="1"/>
  <c r="K95" i="65" s="1"/>
  <c r="L96" i="65"/>
  <c r="M96" i="65" s="1"/>
  <c r="O96" i="65"/>
  <c r="C96" i="65"/>
  <c r="AO95" i="63" a="1"/>
  <c r="AO95" i="63" s="1"/>
  <c r="B97" i="65" s="1"/>
  <c r="N96" i="65" l="1"/>
  <c r="U96" i="65" s="1"/>
  <c r="P96" i="65"/>
  <c r="AG93" i="65"/>
  <c r="Y94" i="65"/>
  <c r="AB94" i="65" s="1"/>
  <c r="AC94" i="65" s="1"/>
  <c r="AD94" i="65" s="1"/>
  <c r="Q95" i="65"/>
  <c r="AF95" i="65"/>
  <c r="R95" i="65"/>
  <c r="S95" i="65" s="1"/>
  <c r="AE95" i="65"/>
  <c r="AH95" i="65"/>
  <c r="AV95" i="65"/>
  <c r="L97" i="65"/>
  <c r="M97" i="65" s="1"/>
  <c r="O97" i="65"/>
  <c r="C97" i="65"/>
  <c r="AM96" i="65"/>
  <c r="D96" i="65"/>
  <c r="E96" i="65" s="1"/>
  <c r="F96" i="65" s="1"/>
  <c r="G96" i="65" s="1"/>
  <c r="H96" i="65" s="1"/>
  <c r="I96" i="65" s="1"/>
  <c r="J96" i="65" s="1"/>
  <c r="K96" i="65" s="1"/>
  <c r="AO96" i="63" a="1"/>
  <c r="AO96" i="63" s="1"/>
  <c r="B98" i="65" s="1"/>
  <c r="N97" i="65" l="1"/>
  <c r="U97" i="65" s="1"/>
  <c r="P97" i="65"/>
  <c r="AG94" i="65"/>
  <c r="Y95" i="65"/>
  <c r="AG95" i="65" s="1"/>
  <c r="AO97" i="63" a="1"/>
  <c r="AO97" i="63" s="1"/>
  <c r="B99" i="65" s="1"/>
  <c r="AE96" i="65"/>
  <c r="AH96" i="65"/>
  <c r="AV96" i="65"/>
  <c r="Q96" i="65"/>
  <c r="AF96" i="65"/>
  <c r="R96" i="65"/>
  <c r="S96" i="65" s="1"/>
  <c r="AM97" i="65"/>
  <c r="D97" i="65"/>
  <c r="E97" i="65" s="1"/>
  <c r="F97" i="65" s="1"/>
  <c r="G97" i="65" s="1"/>
  <c r="H97" i="65" s="1"/>
  <c r="I97" i="65" s="1"/>
  <c r="J97" i="65" s="1"/>
  <c r="K97" i="65" s="1"/>
  <c r="L98" i="65"/>
  <c r="M98" i="65" s="1"/>
  <c r="O98" i="65"/>
  <c r="C98" i="65"/>
  <c r="N98" i="65" l="1"/>
  <c r="U98" i="65" s="1"/>
  <c r="P98" i="65"/>
  <c r="AB95" i="65"/>
  <c r="AC95" i="65" s="1"/>
  <c r="AD95" i="65" s="1"/>
  <c r="Y96" i="65"/>
  <c r="AG96" i="65" s="1"/>
  <c r="AM98" i="65"/>
  <c r="D98" i="65"/>
  <c r="E98" i="65" s="1"/>
  <c r="F98" i="65" s="1"/>
  <c r="G98" i="65" s="1"/>
  <c r="H98" i="65" s="1"/>
  <c r="I98" i="65" s="1"/>
  <c r="J98" i="65" s="1"/>
  <c r="K98" i="65" s="1"/>
  <c r="AH97" i="65"/>
  <c r="AE97" i="65"/>
  <c r="AV97" i="65"/>
  <c r="Q97" i="65"/>
  <c r="AF97" i="65"/>
  <c r="R97" i="65"/>
  <c r="S97" i="65" s="1"/>
  <c r="Y97" i="65" s="1"/>
  <c r="AO98" i="63" a="1"/>
  <c r="AO98" i="63" s="1"/>
  <c r="B100" i="65" s="1"/>
  <c r="C99" i="65"/>
  <c r="L99" i="65"/>
  <c r="M99" i="65" s="1"/>
  <c r="O99" i="65"/>
  <c r="N99" i="65" l="1"/>
  <c r="U99" i="65" s="1"/>
  <c r="P99" i="65"/>
  <c r="AB96" i="65"/>
  <c r="AC96" i="65" s="1"/>
  <c r="AD96" i="65" s="1"/>
  <c r="AB97" i="65"/>
  <c r="AC97" i="65" s="1"/>
  <c r="AD97" i="65" s="1"/>
  <c r="AM99" i="65"/>
  <c r="D99" i="65"/>
  <c r="E99" i="65" s="1"/>
  <c r="F99" i="65" s="1"/>
  <c r="G99" i="65" s="1"/>
  <c r="H99" i="65" s="1"/>
  <c r="I99" i="65" s="1"/>
  <c r="J99" i="65" s="1"/>
  <c r="K99" i="65" s="1"/>
  <c r="AO99" i="63" a="1"/>
  <c r="AO99" i="63" s="1"/>
  <c r="B101" i="65" s="1"/>
  <c r="C100" i="65"/>
  <c r="O100" i="65"/>
  <c r="L100" i="65"/>
  <c r="M100" i="65" s="1"/>
  <c r="AG97" i="65"/>
  <c r="Q98" i="65"/>
  <c r="AF98" i="65"/>
  <c r="AH98" i="65"/>
  <c r="AE98" i="65"/>
  <c r="R98" i="65"/>
  <c r="S98" i="65" s="1"/>
  <c r="AV98" i="65"/>
  <c r="N100" i="65" l="1"/>
  <c r="U100" i="65" s="1"/>
  <c r="P100" i="65"/>
  <c r="Y98" i="65"/>
  <c r="AG98" i="65" s="1"/>
  <c r="AO100" i="63" a="1"/>
  <c r="AO100" i="63" s="1"/>
  <c r="B102" i="65" s="1"/>
  <c r="D100" i="65"/>
  <c r="E100" i="65" s="1"/>
  <c r="F100" i="65" s="1"/>
  <c r="G100" i="65" s="1"/>
  <c r="H100" i="65" s="1"/>
  <c r="I100" i="65" s="1"/>
  <c r="J100" i="65" s="1"/>
  <c r="K100" i="65" s="1"/>
  <c r="AM100" i="65"/>
  <c r="O101" i="65"/>
  <c r="C101" i="65"/>
  <c r="L101" i="65"/>
  <c r="M101" i="65" s="1"/>
  <c r="AH99" i="65"/>
  <c r="AE99" i="65"/>
  <c r="AF99" i="65"/>
  <c r="Q99" i="65"/>
  <c r="AV99" i="65"/>
  <c r="R99" i="65"/>
  <c r="S99" i="65" s="1"/>
  <c r="N101" i="65" l="1"/>
  <c r="U101" i="65" s="1"/>
  <c r="P101" i="65"/>
  <c r="AB98" i="65"/>
  <c r="AC98" i="65" s="1"/>
  <c r="AD98" i="65" s="1"/>
  <c r="Y99" i="65"/>
  <c r="AG99" i="65" s="1"/>
  <c r="AM101" i="65"/>
  <c r="D101" i="65"/>
  <c r="E101" i="65" s="1"/>
  <c r="F101" i="65" s="1"/>
  <c r="G101" i="65" s="1"/>
  <c r="H101" i="65" s="1"/>
  <c r="I101" i="65" s="1"/>
  <c r="J101" i="65" s="1"/>
  <c r="K101" i="65" s="1"/>
  <c r="AV100" i="65"/>
  <c r="R100" i="65"/>
  <c r="S100" i="65" s="1"/>
  <c r="AF100" i="65"/>
  <c r="AE100" i="65"/>
  <c r="AH100" i="65"/>
  <c r="Q100" i="65"/>
  <c r="C102" i="65"/>
  <c r="L102" i="65"/>
  <c r="M102" i="65" s="1"/>
  <c r="O102" i="65"/>
  <c r="AO101" i="63" a="1"/>
  <c r="AO101" i="63" s="1"/>
  <c r="B103" i="65" s="1"/>
  <c r="N102" i="65" l="1"/>
  <c r="U102" i="65" s="1"/>
  <c r="P102" i="65"/>
  <c r="AB99" i="65"/>
  <c r="AC99" i="65" s="1"/>
  <c r="AD99" i="65" s="1"/>
  <c r="Y100" i="65"/>
  <c r="AB100" i="65" s="1"/>
  <c r="AC100" i="65" s="1"/>
  <c r="AD100" i="65" s="1"/>
  <c r="L103" i="65"/>
  <c r="M103" i="65" s="1"/>
  <c r="C103" i="65"/>
  <c r="O103" i="65"/>
  <c r="AO102" i="63" a="1"/>
  <c r="AO102" i="63" s="1"/>
  <c r="B104" i="65" s="1"/>
  <c r="AM102" i="65"/>
  <c r="D102" i="65"/>
  <c r="E102" i="65" s="1"/>
  <c r="F102" i="65" s="1"/>
  <c r="G102" i="65" s="1"/>
  <c r="H102" i="65" s="1"/>
  <c r="I102" i="65" s="1"/>
  <c r="J102" i="65" s="1"/>
  <c r="K102" i="65" s="1"/>
  <c r="AV101" i="65"/>
  <c r="R101" i="65"/>
  <c r="S101" i="65" s="1"/>
  <c r="AE101" i="65"/>
  <c r="AF101" i="65"/>
  <c r="AH101" i="65"/>
  <c r="Q101" i="65"/>
  <c r="N103" i="65" l="1"/>
  <c r="U103" i="65" s="1"/>
  <c r="P103" i="65"/>
  <c r="Y101" i="65"/>
  <c r="AB101" i="65" s="1"/>
  <c r="AC101" i="65" s="1"/>
  <c r="AD101" i="65" s="1"/>
  <c r="AG100" i="65"/>
  <c r="D103" i="65"/>
  <c r="E103" i="65" s="1"/>
  <c r="F103" i="65" s="1"/>
  <c r="G103" i="65" s="1"/>
  <c r="H103" i="65" s="1"/>
  <c r="I103" i="65" s="1"/>
  <c r="J103" i="65" s="1"/>
  <c r="K103" i="65" s="1"/>
  <c r="AM103" i="65"/>
  <c r="AO103" i="63" a="1"/>
  <c r="AO103" i="63" s="1"/>
  <c r="B105" i="65" s="1"/>
  <c r="Q102" i="65"/>
  <c r="AV102" i="65"/>
  <c r="AF102" i="65"/>
  <c r="AH102" i="65"/>
  <c r="AE102" i="65"/>
  <c r="R102" i="65"/>
  <c r="S102" i="65" s="1"/>
  <c r="Y102" i="65" s="1"/>
  <c r="O104" i="65"/>
  <c r="L104" i="65"/>
  <c r="M104" i="65" s="1"/>
  <c r="C104" i="65"/>
  <c r="N104" i="65" l="1"/>
  <c r="U104" i="65" s="1"/>
  <c r="P104" i="65"/>
  <c r="AG101" i="65"/>
  <c r="AB102" i="65"/>
  <c r="AC102" i="65" s="1"/>
  <c r="AD102" i="65" s="1"/>
  <c r="C105" i="65"/>
  <c r="L105" i="65"/>
  <c r="M105" i="65" s="1"/>
  <c r="O105" i="65"/>
  <c r="AO104" i="63" a="1"/>
  <c r="AO104" i="63" s="1"/>
  <c r="B106" i="65" s="1"/>
  <c r="AG102" i="65"/>
  <c r="AV103" i="65"/>
  <c r="R103" i="65"/>
  <c r="S103" i="65" s="1"/>
  <c r="Q103" i="65"/>
  <c r="AE103" i="65"/>
  <c r="AF103" i="65"/>
  <c r="AH103" i="65"/>
  <c r="AM104" i="65"/>
  <c r="D104" i="65"/>
  <c r="E104" i="65" s="1"/>
  <c r="F104" i="65" s="1"/>
  <c r="G104" i="65" s="1"/>
  <c r="H104" i="65" s="1"/>
  <c r="I104" i="65" s="1"/>
  <c r="J104" i="65" s="1"/>
  <c r="K104" i="65" s="1"/>
  <c r="N105" i="65" l="1"/>
  <c r="U105" i="65" s="1"/>
  <c r="P105" i="65"/>
  <c r="Y103" i="65"/>
  <c r="AB103" i="65" s="1"/>
  <c r="AC103" i="65" s="1"/>
  <c r="AD103" i="65" s="1"/>
  <c r="C106" i="65"/>
  <c r="O106" i="65"/>
  <c r="L106" i="65"/>
  <c r="M106" i="65" s="1"/>
  <c r="AO105" i="63" a="1"/>
  <c r="AO105" i="63" s="1"/>
  <c r="B107" i="65" s="1"/>
  <c r="AH104" i="65"/>
  <c r="AF104" i="65"/>
  <c r="AE104" i="65"/>
  <c r="R104" i="65"/>
  <c r="S104" i="65" s="1"/>
  <c r="Y104" i="65" s="1"/>
  <c r="Q104" i="65"/>
  <c r="AV104" i="65"/>
  <c r="AM105" i="65"/>
  <c r="D105" i="65"/>
  <c r="E105" i="65" s="1"/>
  <c r="F105" i="65" s="1"/>
  <c r="G105" i="65" s="1"/>
  <c r="H105" i="65" s="1"/>
  <c r="I105" i="65" s="1"/>
  <c r="J105" i="65" s="1"/>
  <c r="K105" i="65" s="1"/>
  <c r="N106" i="65" l="1"/>
  <c r="U106" i="65" s="1"/>
  <c r="P106" i="65"/>
  <c r="AG103" i="65"/>
  <c r="AB104" i="65"/>
  <c r="AC104" i="65" s="1"/>
  <c r="AD104" i="65" s="1"/>
  <c r="R105" i="65"/>
  <c r="S105" i="65" s="1"/>
  <c r="AV105" i="65"/>
  <c r="Q105" i="65"/>
  <c r="AE105" i="65"/>
  <c r="AH105" i="65"/>
  <c r="AF105" i="65"/>
  <c r="O107" i="65"/>
  <c r="L107" i="65"/>
  <c r="M107" i="65" s="1"/>
  <c r="C107" i="65"/>
  <c r="AO106" i="63" a="1"/>
  <c r="AO106" i="63" s="1"/>
  <c r="B108" i="65" s="1"/>
  <c r="AG104" i="65"/>
  <c r="D106" i="65"/>
  <c r="E106" i="65" s="1"/>
  <c r="F106" i="65" s="1"/>
  <c r="G106" i="65" s="1"/>
  <c r="H106" i="65" s="1"/>
  <c r="I106" i="65" s="1"/>
  <c r="J106" i="65" s="1"/>
  <c r="K106" i="65" s="1"/>
  <c r="AM106" i="65"/>
  <c r="N107" i="65" l="1"/>
  <c r="U107" i="65" s="1"/>
  <c r="P107" i="65"/>
  <c r="Y105" i="65"/>
  <c r="AG105" i="65" s="1"/>
  <c r="AV106" i="65"/>
  <c r="AH106" i="65"/>
  <c r="Q106" i="65"/>
  <c r="R106" i="65"/>
  <c r="S106" i="65" s="1"/>
  <c r="AF106" i="65"/>
  <c r="AE106" i="65"/>
  <c r="D107" i="65"/>
  <c r="E107" i="65" s="1"/>
  <c r="F107" i="65" s="1"/>
  <c r="G107" i="65" s="1"/>
  <c r="H107" i="65" s="1"/>
  <c r="I107" i="65" s="1"/>
  <c r="J107" i="65" s="1"/>
  <c r="K107" i="65" s="1"/>
  <c r="AM107" i="65"/>
  <c r="L108" i="65"/>
  <c r="M108" i="65" s="1"/>
  <c r="C108" i="65"/>
  <c r="O108" i="65"/>
  <c r="AO107" i="63" a="1"/>
  <c r="AO107" i="63" s="1"/>
  <c r="B109" i="65" s="1"/>
  <c r="N108" i="65" l="1"/>
  <c r="U108" i="65" s="1"/>
  <c r="P108" i="65"/>
  <c r="AB105" i="65"/>
  <c r="AC105" i="65" s="1"/>
  <c r="AD105" i="65" s="1"/>
  <c r="Y106" i="65"/>
  <c r="AB106" i="65" s="1"/>
  <c r="AC106" i="65" s="1"/>
  <c r="AD106" i="65" s="1"/>
  <c r="AO108" i="63" a="1"/>
  <c r="AO108" i="63" s="1"/>
  <c r="B110" i="65" s="1"/>
  <c r="AE107" i="65"/>
  <c r="R107" i="65"/>
  <c r="S107" i="65" s="1"/>
  <c r="Q107" i="65"/>
  <c r="AF107" i="65"/>
  <c r="AH107" i="65"/>
  <c r="AV107" i="65"/>
  <c r="D108" i="65"/>
  <c r="E108" i="65" s="1"/>
  <c r="F108" i="65" s="1"/>
  <c r="G108" i="65" s="1"/>
  <c r="H108" i="65" s="1"/>
  <c r="I108" i="65" s="1"/>
  <c r="J108" i="65" s="1"/>
  <c r="K108" i="65" s="1"/>
  <c r="AM108" i="65"/>
  <c r="L109" i="65"/>
  <c r="M109" i="65" s="1"/>
  <c r="O109" i="65"/>
  <c r="C109" i="65"/>
  <c r="N109" i="65" l="1"/>
  <c r="U109" i="65" s="1"/>
  <c r="P109" i="65"/>
  <c r="AG106" i="65"/>
  <c r="Y107" i="65"/>
  <c r="AG107" i="65" s="1"/>
  <c r="D109" i="65"/>
  <c r="E109" i="65" s="1"/>
  <c r="F109" i="65" s="1"/>
  <c r="G109" i="65" s="1"/>
  <c r="H109" i="65" s="1"/>
  <c r="I109" i="65" s="1"/>
  <c r="J109" i="65" s="1"/>
  <c r="K109" i="65" s="1"/>
  <c r="AM109" i="65"/>
  <c r="AE108" i="65"/>
  <c r="Q108" i="65"/>
  <c r="R108" i="65"/>
  <c r="S108" i="65" s="1"/>
  <c r="AH108" i="65"/>
  <c r="AF108" i="65"/>
  <c r="AV108" i="65"/>
  <c r="AO109" i="63" a="1"/>
  <c r="AO109" i="63" s="1"/>
  <c r="B111" i="65" s="1"/>
  <c r="O110" i="65"/>
  <c r="C110" i="65"/>
  <c r="L110" i="65"/>
  <c r="M110" i="65" s="1"/>
  <c r="N110" i="65" l="1"/>
  <c r="U110" i="65" s="1"/>
  <c r="P110" i="65"/>
  <c r="AB107" i="65"/>
  <c r="AC107" i="65" s="1"/>
  <c r="AD107" i="65" s="1"/>
  <c r="Y108" i="65"/>
  <c r="AG108" i="65" s="1"/>
  <c r="AM110" i="65"/>
  <c r="D110" i="65"/>
  <c r="E110" i="65" s="1"/>
  <c r="F110" i="65" s="1"/>
  <c r="G110" i="65" s="1"/>
  <c r="H110" i="65" s="1"/>
  <c r="I110" i="65" s="1"/>
  <c r="J110" i="65" s="1"/>
  <c r="K110" i="65" s="1"/>
  <c r="AO110" i="63" a="1"/>
  <c r="AO110" i="63" s="1"/>
  <c r="B112" i="65" s="1"/>
  <c r="AE109" i="65"/>
  <c r="AV109" i="65"/>
  <c r="Q109" i="65"/>
  <c r="AF109" i="65"/>
  <c r="R109" i="65"/>
  <c r="S109" i="65" s="1"/>
  <c r="AH109" i="65"/>
  <c r="O111" i="65"/>
  <c r="L111" i="65"/>
  <c r="M111" i="65" s="1"/>
  <c r="C111" i="65"/>
  <c r="N111" i="65" l="1"/>
  <c r="U111" i="65" s="1"/>
  <c r="P111" i="65"/>
  <c r="AB108" i="65"/>
  <c r="AC108" i="65" s="1"/>
  <c r="AD108" i="65" s="1"/>
  <c r="Y109" i="65"/>
  <c r="AB109" i="65" s="1"/>
  <c r="AC109" i="65" s="1"/>
  <c r="AD109" i="65" s="1"/>
  <c r="C112" i="65"/>
  <c r="L112" i="65"/>
  <c r="M112" i="65" s="1"/>
  <c r="O112" i="65"/>
  <c r="AO111" i="63" a="1"/>
  <c r="AO111" i="63" s="1"/>
  <c r="B113" i="65" s="1"/>
  <c r="AM111" i="65"/>
  <c r="D111" i="65"/>
  <c r="E111" i="65" s="1"/>
  <c r="F111" i="65" s="1"/>
  <c r="G111" i="65" s="1"/>
  <c r="H111" i="65" s="1"/>
  <c r="I111" i="65" s="1"/>
  <c r="J111" i="65" s="1"/>
  <c r="K111" i="65" s="1"/>
  <c r="AE110" i="65"/>
  <c r="AF110" i="65"/>
  <c r="AV110" i="65"/>
  <c r="R110" i="65"/>
  <c r="S110" i="65" s="1"/>
  <c r="Y110" i="65" s="1"/>
  <c r="AH110" i="65"/>
  <c r="Q110" i="65"/>
  <c r="N112" i="65" l="1"/>
  <c r="U112" i="65" s="1"/>
  <c r="P112" i="65"/>
  <c r="AB110" i="65"/>
  <c r="AC110" i="65" s="1"/>
  <c r="AD110" i="65" s="1"/>
  <c r="AG109" i="65"/>
  <c r="AO112" i="63" a="1"/>
  <c r="AO112" i="63" s="1"/>
  <c r="B114" i="65" s="1"/>
  <c r="D112" i="65"/>
  <c r="E112" i="65" s="1"/>
  <c r="F112" i="65" s="1"/>
  <c r="G112" i="65" s="1"/>
  <c r="H112" i="65" s="1"/>
  <c r="I112" i="65" s="1"/>
  <c r="J112" i="65" s="1"/>
  <c r="K112" i="65" s="1"/>
  <c r="AM112" i="65"/>
  <c r="O113" i="65"/>
  <c r="L113" i="65"/>
  <c r="M113" i="65" s="1"/>
  <c r="C113" i="65"/>
  <c r="AF111" i="65"/>
  <c r="Q111" i="65"/>
  <c r="AV111" i="65"/>
  <c r="AE111" i="65"/>
  <c r="AH111" i="65"/>
  <c r="R111" i="65"/>
  <c r="S111" i="65" s="1"/>
  <c r="Y111" i="65" s="1"/>
  <c r="AG110" i="65"/>
  <c r="N113" i="65" l="1"/>
  <c r="U113" i="65" s="1"/>
  <c r="P113" i="65"/>
  <c r="AB111" i="65"/>
  <c r="AC111" i="65" s="1"/>
  <c r="AD111" i="65" s="1"/>
  <c r="AG111" i="65"/>
  <c r="AO113" i="63" a="1"/>
  <c r="AO113" i="63" s="1"/>
  <c r="B115" i="65" s="1"/>
  <c r="D113" i="65"/>
  <c r="E113" i="65" s="1"/>
  <c r="F113" i="65" s="1"/>
  <c r="G113" i="65" s="1"/>
  <c r="H113" i="65" s="1"/>
  <c r="I113" i="65" s="1"/>
  <c r="J113" i="65" s="1"/>
  <c r="K113" i="65" s="1"/>
  <c r="AM113" i="65"/>
  <c r="AE112" i="65"/>
  <c r="AF112" i="65"/>
  <c r="Q112" i="65"/>
  <c r="AH112" i="65"/>
  <c r="AV112" i="65"/>
  <c r="R112" i="65"/>
  <c r="S112" i="65" s="1"/>
  <c r="O114" i="65"/>
  <c r="C114" i="65"/>
  <c r="L114" i="65"/>
  <c r="M114" i="65" s="1"/>
  <c r="N114" i="65" l="1"/>
  <c r="U114" i="65" s="1"/>
  <c r="P114" i="65"/>
  <c r="Y112" i="65"/>
  <c r="AB112" i="65" s="1"/>
  <c r="AC112" i="65" s="1"/>
  <c r="AD112" i="65" s="1"/>
  <c r="AO114" i="63" a="1"/>
  <c r="AO114" i="63" s="1"/>
  <c r="B116" i="65" s="1"/>
  <c r="AM114" i="65"/>
  <c r="D114" i="65"/>
  <c r="E114" i="65" s="1"/>
  <c r="F114" i="65" s="1"/>
  <c r="G114" i="65" s="1"/>
  <c r="H114" i="65" s="1"/>
  <c r="I114" i="65" s="1"/>
  <c r="J114" i="65" s="1"/>
  <c r="K114" i="65" s="1"/>
  <c r="AV113" i="65"/>
  <c r="AH113" i="65"/>
  <c r="AF113" i="65"/>
  <c r="AE113" i="65"/>
  <c r="R113" i="65"/>
  <c r="S113" i="65" s="1"/>
  <c r="Q113" i="65"/>
  <c r="L115" i="65"/>
  <c r="M115" i="65" s="1"/>
  <c r="C115" i="65"/>
  <c r="O115" i="65"/>
  <c r="N115" i="65" l="1"/>
  <c r="U115" i="65" s="1"/>
  <c r="P115" i="65"/>
  <c r="AG112" i="65"/>
  <c r="Y113" i="65"/>
  <c r="AB113" i="65" s="1"/>
  <c r="AC113" i="65" s="1"/>
  <c r="AD113" i="65" s="1"/>
  <c r="AH114" i="65"/>
  <c r="AF114" i="65"/>
  <c r="Q114" i="65"/>
  <c r="AV114" i="65"/>
  <c r="R114" i="65"/>
  <c r="S114" i="65" s="1"/>
  <c r="AE114" i="65"/>
  <c r="D115" i="65"/>
  <c r="E115" i="65" s="1"/>
  <c r="F115" i="65" s="1"/>
  <c r="G115" i="65" s="1"/>
  <c r="H115" i="65" s="1"/>
  <c r="I115" i="65" s="1"/>
  <c r="J115" i="65" s="1"/>
  <c r="K115" i="65" s="1"/>
  <c r="AM115" i="65"/>
  <c r="L116" i="65"/>
  <c r="M116" i="65" s="1"/>
  <c r="C116" i="65"/>
  <c r="O116" i="65"/>
  <c r="AO115" i="63" a="1"/>
  <c r="AO115" i="63" s="1"/>
  <c r="B117" i="65" s="1"/>
  <c r="N116" i="65" l="1"/>
  <c r="U116" i="65" s="1"/>
  <c r="P116" i="65"/>
  <c r="AG113" i="65"/>
  <c r="Y114" i="65"/>
  <c r="AB114" i="65" s="1"/>
  <c r="AC114" i="65" s="1"/>
  <c r="AD114" i="65" s="1"/>
  <c r="L117" i="65"/>
  <c r="M117" i="65" s="1"/>
  <c r="O117" i="65"/>
  <c r="C117" i="65"/>
  <c r="AH115" i="65"/>
  <c r="AV115" i="65"/>
  <c r="R115" i="65"/>
  <c r="S115" i="65" s="1"/>
  <c r="Y115" i="65" s="1"/>
  <c r="AF115" i="65"/>
  <c r="AE115" i="65"/>
  <c r="Q115" i="65"/>
  <c r="D116" i="65"/>
  <c r="E116" i="65" s="1"/>
  <c r="F116" i="65" s="1"/>
  <c r="G116" i="65" s="1"/>
  <c r="H116" i="65" s="1"/>
  <c r="I116" i="65" s="1"/>
  <c r="J116" i="65" s="1"/>
  <c r="K116" i="65" s="1"/>
  <c r="AM116" i="65"/>
  <c r="AO116" i="63" a="1"/>
  <c r="AO116" i="63" s="1"/>
  <c r="B118" i="65" s="1"/>
  <c r="N117" i="65" l="1"/>
  <c r="U117" i="65" s="1"/>
  <c r="P117" i="65"/>
  <c r="AG114" i="65"/>
  <c r="AB115" i="65"/>
  <c r="AC115" i="65" s="1"/>
  <c r="AD115" i="65" s="1"/>
  <c r="AO117" i="63" a="1"/>
  <c r="AO117" i="63" s="1"/>
  <c r="B119" i="65" s="1"/>
  <c r="AG115" i="65"/>
  <c r="D117" i="65"/>
  <c r="E117" i="65" s="1"/>
  <c r="F117" i="65" s="1"/>
  <c r="G117" i="65" s="1"/>
  <c r="H117" i="65" s="1"/>
  <c r="I117" i="65" s="1"/>
  <c r="J117" i="65" s="1"/>
  <c r="K117" i="65" s="1"/>
  <c r="AM117" i="65"/>
  <c r="AH116" i="65"/>
  <c r="AE116" i="65"/>
  <c r="AF116" i="65"/>
  <c r="R116" i="65"/>
  <c r="S116" i="65" s="1"/>
  <c r="Q116" i="65"/>
  <c r="AV116" i="65"/>
  <c r="L118" i="65"/>
  <c r="M118" i="65" s="1"/>
  <c r="C118" i="65"/>
  <c r="O118" i="65"/>
  <c r="N118" i="65" l="1"/>
  <c r="U118" i="65" s="1"/>
  <c r="P118" i="65"/>
  <c r="Y116" i="65"/>
  <c r="AB116" i="65" s="1"/>
  <c r="AC116" i="65" s="1"/>
  <c r="AD116" i="65" s="1"/>
  <c r="AV117" i="65"/>
  <c r="AH117" i="65"/>
  <c r="AF117" i="65"/>
  <c r="R117" i="65"/>
  <c r="S117" i="65" s="1"/>
  <c r="AE117" i="65"/>
  <c r="Q117" i="65"/>
  <c r="AM118" i="65"/>
  <c r="D118" i="65"/>
  <c r="E118" i="65" s="1"/>
  <c r="F118" i="65" s="1"/>
  <c r="G118" i="65" s="1"/>
  <c r="H118" i="65" s="1"/>
  <c r="I118" i="65" s="1"/>
  <c r="J118" i="65" s="1"/>
  <c r="K118" i="65" s="1"/>
  <c r="AO118" i="63" a="1"/>
  <c r="AO118" i="63" s="1"/>
  <c r="B120" i="65" s="1"/>
  <c r="O119" i="65"/>
  <c r="L119" i="65"/>
  <c r="M119" i="65" s="1"/>
  <c r="C119" i="65"/>
  <c r="N119" i="65" l="1"/>
  <c r="U119" i="65" s="1"/>
  <c r="P119" i="65"/>
  <c r="AG116" i="65"/>
  <c r="Y117" i="65"/>
  <c r="AB117" i="65" s="1"/>
  <c r="AC117" i="65" s="1"/>
  <c r="AD117" i="65" s="1"/>
  <c r="AV118" i="65"/>
  <c r="R118" i="65"/>
  <c r="S118" i="65" s="1"/>
  <c r="AE118" i="65"/>
  <c r="AF118" i="65"/>
  <c r="AH118" i="65"/>
  <c r="Q118" i="65"/>
  <c r="AO119" i="63" a="1"/>
  <c r="AO119" i="63" s="1"/>
  <c r="B121" i="65" s="1"/>
  <c r="C120" i="65"/>
  <c r="O120" i="65"/>
  <c r="L120" i="65"/>
  <c r="M120" i="65" s="1"/>
  <c r="D119" i="65"/>
  <c r="E119" i="65" s="1"/>
  <c r="F119" i="65" s="1"/>
  <c r="G119" i="65" s="1"/>
  <c r="H119" i="65" s="1"/>
  <c r="I119" i="65" s="1"/>
  <c r="J119" i="65" s="1"/>
  <c r="K119" i="65" s="1"/>
  <c r="AM119" i="65"/>
  <c r="N120" i="65" l="1"/>
  <c r="U120" i="65" s="1"/>
  <c r="P120" i="65"/>
  <c r="AG117" i="65"/>
  <c r="Y118" i="65"/>
  <c r="AB118" i="65" s="1"/>
  <c r="AC118" i="65" s="1"/>
  <c r="AD118" i="65" s="1"/>
  <c r="L121" i="65"/>
  <c r="M121" i="65" s="1"/>
  <c r="C121" i="65"/>
  <c r="O121" i="65"/>
  <c r="R119" i="65"/>
  <c r="S119" i="65" s="1"/>
  <c r="Y119" i="65" s="1"/>
  <c r="AF119" i="65"/>
  <c r="AH119" i="65"/>
  <c r="AV119" i="65"/>
  <c r="AE119" i="65"/>
  <c r="Q119" i="65"/>
  <c r="AO120" i="63" a="1"/>
  <c r="AO120" i="63" s="1"/>
  <c r="B122" i="65" s="1"/>
  <c r="D120" i="65"/>
  <c r="E120" i="65" s="1"/>
  <c r="F120" i="65" s="1"/>
  <c r="G120" i="65" s="1"/>
  <c r="H120" i="65" s="1"/>
  <c r="I120" i="65" s="1"/>
  <c r="J120" i="65" s="1"/>
  <c r="K120" i="65" s="1"/>
  <c r="AM120" i="65"/>
  <c r="N121" i="65" l="1"/>
  <c r="U121" i="65" s="1"/>
  <c r="P121" i="65"/>
  <c r="AG118" i="65"/>
  <c r="AB119" i="65"/>
  <c r="AC119" i="65" s="1"/>
  <c r="AD119" i="65" s="1"/>
  <c r="C122" i="65"/>
  <c r="L122" i="65"/>
  <c r="M122" i="65" s="1"/>
  <c r="O122" i="65"/>
  <c r="AG119" i="65"/>
  <c r="D121" i="65"/>
  <c r="E121" i="65" s="1"/>
  <c r="F121" i="65" s="1"/>
  <c r="G121" i="65" s="1"/>
  <c r="H121" i="65" s="1"/>
  <c r="I121" i="65" s="1"/>
  <c r="J121" i="65" s="1"/>
  <c r="K121" i="65" s="1"/>
  <c r="AM121" i="65"/>
  <c r="AO121" i="63" a="1"/>
  <c r="AO121" i="63" s="1"/>
  <c r="B123" i="65" s="1"/>
  <c r="Q120" i="65"/>
  <c r="AE120" i="65"/>
  <c r="R120" i="65"/>
  <c r="S120" i="65" s="1"/>
  <c r="AH120" i="65"/>
  <c r="AV120" i="65"/>
  <c r="AF120" i="65"/>
  <c r="N122" i="65" l="1"/>
  <c r="U122" i="65" s="1"/>
  <c r="P122" i="65"/>
  <c r="Y120" i="65"/>
  <c r="AB120" i="65" s="1"/>
  <c r="AC120" i="65" s="1"/>
  <c r="AD120" i="65" s="1"/>
  <c r="L123" i="65"/>
  <c r="M123" i="65" s="1"/>
  <c r="C123" i="65"/>
  <c r="O123" i="65"/>
  <c r="AH121" i="65"/>
  <c r="Q121" i="65"/>
  <c r="AE121" i="65"/>
  <c r="AV121" i="65"/>
  <c r="AF121" i="65"/>
  <c r="R121" i="65"/>
  <c r="S121" i="65" s="1"/>
  <c r="Y121" i="65" s="1"/>
  <c r="AM122" i="65"/>
  <c r="D122" i="65"/>
  <c r="E122" i="65" s="1"/>
  <c r="F122" i="65" s="1"/>
  <c r="G122" i="65" s="1"/>
  <c r="H122" i="65" s="1"/>
  <c r="I122" i="65" s="1"/>
  <c r="J122" i="65" s="1"/>
  <c r="K122" i="65" s="1"/>
  <c r="AO122" i="63" a="1"/>
  <c r="AO122" i="63" s="1"/>
  <c r="B124" i="65" s="1"/>
  <c r="N123" i="65" l="1"/>
  <c r="U123" i="65" s="1"/>
  <c r="P123" i="65"/>
  <c r="AG120" i="65"/>
  <c r="AB121" i="65"/>
  <c r="AC121" i="65" s="1"/>
  <c r="AD121" i="65" s="1"/>
  <c r="L124" i="65"/>
  <c r="M124" i="65" s="1"/>
  <c r="O124" i="65"/>
  <c r="C124" i="65"/>
  <c r="AG121" i="65"/>
  <c r="AM123" i="65"/>
  <c r="D123" i="65"/>
  <c r="E123" i="65" s="1"/>
  <c r="F123" i="65" s="1"/>
  <c r="G123" i="65" s="1"/>
  <c r="H123" i="65" s="1"/>
  <c r="I123" i="65" s="1"/>
  <c r="J123" i="65" s="1"/>
  <c r="K123" i="65" s="1"/>
  <c r="AE122" i="65"/>
  <c r="AF122" i="65"/>
  <c r="AH122" i="65"/>
  <c r="AV122" i="65"/>
  <c r="Q122" i="65"/>
  <c r="R122" i="65"/>
  <c r="S122" i="65" s="1"/>
  <c r="Y122" i="65" s="1"/>
  <c r="AO123" i="63" a="1"/>
  <c r="AO123" i="63" s="1"/>
  <c r="B125" i="65" s="1"/>
  <c r="N124" i="65" l="1"/>
  <c r="U124" i="65" s="1"/>
  <c r="P124" i="65"/>
  <c r="AB122" i="65"/>
  <c r="AC122" i="65" s="1"/>
  <c r="AD122" i="65" s="1"/>
  <c r="AG122" i="65"/>
  <c r="L125" i="65"/>
  <c r="M125" i="65" s="1"/>
  <c r="O125" i="65"/>
  <c r="C125" i="65"/>
  <c r="Q123" i="65"/>
  <c r="AE123" i="65"/>
  <c r="AH123" i="65"/>
  <c r="AF123" i="65"/>
  <c r="R123" i="65"/>
  <c r="S123" i="65" s="1"/>
  <c r="AV123" i="65"/>
  <c r="AM124" i="65"/>
  <c r="D124" i="65"/>
  <c r="E124" i="65" s="1"/>
  <c r="F124" i="65" s="1"/>
  <c r="G124" i="65" s="1"/>
  <c r="H124" i="65" s="1"/>
  <c r="I124" i="65" s="1"/>
  <c r="J124" i="65" s="1"/>
  <c r="K124" i="65" s="1"/>
  <c r="AO124" i="63" a="1"/>
  <c r="AO124" i="63" s="1"/>
  <c r="B126" i="65" s="1"/>
  <c r="N125" i="65" l="1"/>
  <c r="U125" i="65" s="1"/>
  <c r="P125" i="65"/>
  <c r="Y123" i="65"/>
  <c r="AB123" i="65" s="1"/>
  <c r="AC123" i="65" s="1"/>
  <c r="AD123" i="65" s="1"/>
  <c r="AE124" i="65"/>
  <c r="AH124" i="65"/>
  <c r="AV124" i="65"/>
  <c r="Q124" i="65"/>
  <c r="R124" i="65"/>
  <c r="S124" i="65" s="1"/>
  <c r="Y124" i="65" s="1"/>
  <c r="AF124" i="65"/>
  <c r="C126" i="65"/>
  <c r="O126" i="65"/>
  <c r="L126" i="65"/>
  <c r="M126" i="65" s="1"/>
  <c r="AO125" i="63" a="1"/>
  <c r="AO125" i="63" s="1"/>
  <c r="B127" i="65" s="1"/>
  <c r="D125" i="65"/>
  <c r="E125" i="65" s="1"/>
  <c r="F125" i="65" s="1"/>
  <c r="G125" i="65" s="1"/>
  <c r="H125" i="65" s="1"/>
  <c r="I125" i="65" s="1"/>
  <c r="J125" i="65" s="1"/>
  <c r="K125" i="65" s="1"/>
  <c r="AM125" i="65"/>
  <c r="N126" i="65" l="1"/>
  <c r="U126" i="65" s="1"/>
  <c r="P126" i="65"/>
  <c r="AB124" i="65"/>
  <c r="AC124" i="65" s="1"/>
  <c r="AD124" i="65" s="1"/>
  <c r="AG123" i="65"/>
  <c r="AO126" i="63" a="1"/>
  <c r="AO126" i="63" s="1"/>
  <c r="B128" i="65" s="1"/>
  <c r="AG124" i="65"/>
  <c r="C127" i="65"/>
  <c r="O127" i="65"/>
  <c r="L127" i="65"/>
  <c r="M127" i="65" s="1"/>
  <c r="AM126" i="65"/>
  <c r="D126" i="65"/>
  <c r="E126" i="65" s="1"/>
  <c r="F126" i="65" s="1"/>
  <c r="G126" i="65" s="1"/>
  <c r="H126" i="65" s="1"/>
  <c r="I126" i="65" s="1"/>
  <c r="J126" i="65" s="1"/>
  <c r="K126" i="65" s="1"/>
  <c r="AF125" i="65"/>
  <c r="AE125" i="65"/>
  <c r="AH125" i="65"/>
  <c r="AV125" i="65"/>
  <c r="R125" i="65"/>
  <c r="S125" i="65" s="1"/>
  <c r="Q125" i="65"/>
  <c r="N127" i="65" l="1"/>
  <c r="U127" i="65" s="1"/>
  <c r="P127" i="65"/>
  <c r="Y125" i="65"/>
  <c r="AB125" i="65" s="1"/>
  <c r="AC125" i="65" s="1"/>
  <c r="AD125" i="65" s="1"/>
  <c r="AO127" i="63" a="1"/>
  <c r="AO127" i="63" s="1"/>
  <c r="B129" i="65" s="1"/>
  <c r="D127" i="65"/>
  <c r="E127" i="65" s="1"/>
  <c r="F127" i="65" s="1"/>
  <c r="G127" i="65" s="1"/>
  <c r="H127" i="65" s="1"/>
  <c r="I127" i="65" s="1"/>
  <c r="J127" i="65" s="1"/>
  <c r="K127" i="65" s="1"/>
  <c r="AM127" i="65"/>
  <c r="AV126" i="65"/>
  <c r="AF126" i="65"/>
  <c r="R126" i="65"/>
  <c r="S126" i="65" s="1"/>
  <c r="Y126" i="65" s="1"/>
  <c r="Q126" i="65"/>
  <c r="AH126" i="65"/>
  <c r="AE126" i="65"/>
  <c r="L128" i="65"/>
  <c r="M128" i="65" s="1"/>
  <c r="O128" i="65"/>
  <c r="C128" i="65"/>
  <c r="N128" i="65" l="1"/>
  <c r="U128" i="65" s="1"/>
  <c r="P128" i="65"/>
  <c r="AG125" i="65"/>
  <c r="AB126" i="65"/>
  <c r="AC126" i="65" s="1"/>
  <c r="AD126" i="65" s="1"/>
  <c r="AG126" i="65"/>
  <c r="AO128" i="63" a="1"/>
  <c r="AO128" i="63" s="1"/>
  <c r="B130" i="65" s="1"/>
  <c r="AM128" i="65"/>
  <c r="D128" i="65"/>
  <c r="E128" i="65" s="1"/>
  <c r="F128" i="65" s="1"/>
  <c r="G128" i="65" s="1"/>
  <c r="H128" i="65" s="1"/>
  <c r="I128" i="65" s="1"/>
  <c r="J128" i="65" s="1"/>
  <c r="K128" i="65" s="1"/>
  <c r="Q127" i="65"/>
  <c r="AH127" i="65"/>
  <c r="AF127" i="65"/>
  <c r="AV127" i="65"/>
  <c r="AE127" i="65"/>
  <c r="R127" i="65"/>
  <c r="S127" i="65" s="1"/>
  <c r="O129" i="65"/>
  <c r="L129" i="65"/>
  <c r="M129" i="65" s="1"/>
  <c r="C129" i="65"/>
  <c r="N129" i="65" l="1"/>
  <c r="U129" i="65" s="1"/>
  <c r="P129" i="65"/>
  <c r="Y127" i="65"/>
  <c r="AB127" i="65" s="1"/>
  <c r="AC127" i="65" s="1"/>
  <c r="AD127" i="65" s="1"/>
  <c r="D129" i="65"/>
  <c r="E129" i="65" s="1"/>
  <c r="F129" i="65" s="1"/>
  <c r="G129" i="65" s="1"/>
  <c r="H129" i="65" s="1"/>
  <c r="I129" i="65" s="1"/>
  <c r="J129" i="65" s="1"/>
  <c r="K129" i="65" s="1"/>
  <c r="AM129" i="65"/>
  <c r="AO129" i="63" a="1"/>
  <c r="AO129" i="63" s="1"/>
  <c r="B131" i="65" s="1"/>
  <c r="AV128" i="65"/>
  <c r="AF128" i="65"/>
  <c r="AH128" i="65"/>
  <c r="R128" i="65"/>
  <c r="S128" i="65" s="1"/>
  <c r="Q128" i="65"/>
  <c r="AE128" i="65"/>
  <c r="O130" i="65"/>
  <c r="C130" i="65"/>
  <c r="L130" i="65"/>
  <c r="M130" i="65" s="1"/>
  <c r="N130" i="65" l="1"/>
  <c r="U130" i="65" s="1"/>
  <c r="P130" i="65"/>
  <c r="AG127" i="65"/>
  <c r="Y128" i="65"/>
  <c r="AB128" i="65" s="1"/>
  <c r="AC128" i="65" s="1"/>
  <c r="AD128" i="65" s="1"/>
  <c r="AO130" i="63" a="1"/>
  <c r="AO130" i="63" s="1"/>
  <c r="B132" i="65" s="1"/>
  <c r="L131" i="65"/>
  <c r="M131" i="65" s="1"/>
  <c r="O131" i="65"/>
  <c r="C131" i="65"/>
  <c r="AV129" i="65"/>
  <c r="R129" i="65"/>
  <c r="S129" i="65" s="1"/>
  <c r="Y129" i="65" s="1"/>
  <c r="Q129" i="65"/>
  <c r="AH129" i="65"/>
  <c r="AF129" i="65"/>
  <c r="AE129" i="65"/>
  <c r="AM130" i="65"/>
  <c r="D130" i="65"/>
  <c r="E130" i="65" s="1"/>
  <c r="F130" i="65" s="1"/>
  <c r="G130" i="65" s="1"/>
  <c r="H130" i="65" s="1"/>
  <c r="I130" i="65" s="1"/>
  <c r="J130" i="65" s="1"/>
  <c r="K130" i="65" s="1"/>
  <c r="N131" i="65" l="1"/>
  <c r="P131" i="65"/>
  <c r="AG128" i="65"/>
  <c r="AB129" i="65"/>
  <c r="AC129" i="65" s="1"/>
  <c r="AD129" i="65" s="1"/>
  <c r="AG129" i="65"/>
  <c r="C132" i="65"/>
  <c r="L132" i="65"/>
  <c r="M132" i="65" s="1"/>
  <c r="O132" i="65"/>
  <c r="U131" i="65"/>
  <c r="AM131" i="65"/>
  <c r="D131" i="65"/>
  <c r="E131" i="65" s="1"/>
  <c r="F131" i="65" s="1"/>
  <c r="G131" i="65" s="1"/>
  <c r="H131" i="65" s="1"/>
  <c r="I131" i="65" s="1"/>
  <c r="J131" i="65" s="1"/>
  <c r="K131" i="65" s="1"/>
  <c r="AO131" i="63" a="1"/>
  <c r="AO131" i="63" s="1"/>
  <c r="B133" i="65" s="1"/>
  <c r="Q130" i="65"/>
  <c r="R130" i="65"/>
  <c r="S130" i="65" s="1"/>
  <c r="AV130" i="65"/>
  <c r="AF130" i="65"/>
  <c r="AH130" i="65"/>
  <c r="AE130" i="65"/>
  <c r="N132" i="65" l="1"/>
  <c r="U132" i="65" s="1"/>
  <c r="P132" i="65"/>
  <c r="Y130" i="65"/>
  <c r="AG130" i="65" s="1"/>
  <c r="AF131" i="65"/>
  <c r="R131" i="65"/>
  <c r="S131" i="65" s="1"/>
  <c r="AH131" i="65"/>
  <c r="Q131" i="65"/>
  <c r="AE131" i="65"/>
  <c r="AV131" i="65"/>
  <c r="AO132" i="63" a="1"/>
  <c r="AO132" i="63" s="1"/>
  <c r="B134" i="65" s="1"/>
  <c r="O133" i="65"/>
  <c r="C133" i="65"/>
  <c r="L133" i="65"/>
  <c r="M133" i="65" s="1"/>
  <c r="AM132" i="65"/>
  <c r="D132" i="65"/>
  <c r="E132" i="65" s="1"/>
  <c r="F132" i="65" s="1"/>
  <c r="G132" i="65" s="1"/>
  <c r="H132" i="65" s="1"/>
  <c r="I132" i="65" s="1"/>
  <c r="J132" i="65" s="1"/>
  <c r="K132" i="65" s="1"/>
  <c r="N133" i="65" l="1"/>
  <c r="U133" i="65" s="1"/>
  <c r="P133" i="65"/>
  <c r="AB130" i="65"/>
  <c r="AC130" i="65" s="1"/>
  <c r="AD130" i="65" s="1"/>
  <c r="Y131" i="65"/>
  <c r="AB131" i="65" s="1"/>
  <c r="AC131" i="65" s="1"/>
  <c r="AD131" i="65" s="1"/>
  <c r="AM133" i="65"/>
  <c r="D133" i="65"/>
  <c r="E133" i="65" s="1"/>
  <c r="F133" i="65" s="1"/>
  <c r="G133" i="65" s="1"/>
  <c r="H133" i="65" s="1"/>
  <c r="I133" i="65" s="1"/>
  <c r="J133" i="65" s="1"/>
  <c r="K133" i="65" s="1"/>
  <c r="C134" i="65"/>
  <c r="L134" i="65"/>
  <c r="M134" i="65" s="1"/>
  <c r="O134" i="65"/>
  <c r="Q132" i="65"/>
  <c r="AE132" i="65"/>
  <c r="AV132" i="65"/>
  <c r="AF132" i="65"/>
  <c r="AH132" i="65"/>
  <c r="R132" i="65"/>
  <c r="S132" i="65" s="1"/>
  <c r="Y132" i="65" s="1"/>
  <c r="AO133" i="63" a="1"/>
  <c r="AO133" i="63" s="1"/>
  <c r="B135" i="65" s="1"/>
  <c r="N134" i="65" l="1"/>
  <c r="U134" i="65" s="1"/>
  <c r="P134" i="65"/>
  <c r="AB132" i="65"/>
  <c r="AC132" i="65" s="1"/>
  <c r="AD132" i="65" s="1"/>
  <c r="AG131" i="65"/>
  <c r="AG132" i="65"/>
  <c r="L135" i="65"/>
  <c r="M135" i="65" s="1"/>
  <c r="O135" i="65"/>
  <c r="C135" i="65"/>
  <c r="Q133" i="65"/>
  <c r="AH133" i="65"/>
  <c r="R133" i="65"/>
  <c r="S133" i="65" s="1"/>
  <c r="AF133" i="65"/>
  <c r="AV133" i="65"/>
  <c r="AE133" i="65"/>
  <c r="D134" i="65"/>
  <c r="E134" i="65" s="1"/>
  <c r="F134" i="65" s="1"/>
  <c r="G134" i="65" s="1"/>
  <c r="H134" i="65" s="1"/>
  <c r="I134" i="65" s="1"/>
  <c r="J134" i="65" s="1"/>
  <c r="K134" i="65" s="1"/>
  <c r="AM134" i="65"/>
  <c r="AO134" i="63" a="1"/>
  <c r="AO134" i="63" s="1"/>
  <c r="B136" i="65" s="1"/>
  <c r="N135" i="65" l="1"/>
  <c r="U135" i="65" s="1"/>
  <c r="P135" i="65"/>
  <c r="Y133" i="65"/>
  <c r="AB133" i="65" s="1"/>
  <c r="AC133" i="65" s="1"/>
  <c r="AD133" i="65" s="1"/>
  <c r="L136" i="65"/>
  <c r="M136" i="65" s="1"/>
  <c r="O136" i="65"/>
  <c r="C136" i="65"/>
  <c r="AM135" i="65"/>
  <c r="D135" i="65"/>
  <c r="E135" i="65" s="1"/>
  <c r="F135" i="65" s="1"/>
  <c r="G135" i="65" s="1"/>
  <c r="H135" i="65" s="1"/>
  <c r="I135" i="65" s="1"/>
  <c r="J135" i="65" s="1"/>
  <c r="K135" i="65" s="1"/>
  <c r="R134" i="65"/>
  <c r="S134" i="65" s="1"/>
  <c r="Y134" i="65" s="1"/>
  <c r="AV134" i="65"/>
  <c r="AF134" i="65"/>
  <c r="Q134" i="65"/>
  <c r="AE134" i="65"/>
  <c r="AH134" i="65"/>
  <c r="AO135" i="63" a="1"/>
  <c r="AO135" i="63" s="1"/>
  <c r="B137" i="65" s="1"/>
  <c r="AG133" i="65" l="1"/>
  <c r="N136" i="65"/>
  <c r="U136" i="65" s="1"/>
  <c r="P136" i="65"/>
  <c r="AB134" i="65"/>
  <c r="AC134" i="65" s="1"/>
  <c r="AD134" i="65" s="1"/>
  <c r="AG134" i="65"/>
  <c r="O137" i="65"/>
  <c r="C137" i="65"/>
  <c r="L137" i="65"/>
  <c r="M137" i="65" s="1"/>
  <c r="AM136" i="65"/>
  <c r="D136" i="65"/>
  <c r="E136" i="65" s="1"/>
  <c r="F136" i="65" s="1"/>
  <c r="G136" i="65" s="1"/>
  <c r="H136" i="65" s="1"/>
  <c r="I136" i="65" s="1"/>
  <c r="J136" i="65" s="1"/>
  <c r="K136" i="65" s="1"/>
  <c r="AV135" i="65"/>
  <c r="AH135" i="65"/>
  <c r="R135" i="65"/>
  <c r="S135" i="65" s="1"/>
  <c r="Q135" i="65"/>
  <c r="AF135" i="65"/>
  <c r="AE135" i="65"/>
  <c r="AO136" i="63" a="1"/>
  <c r="AO136" i="63" s="1"/>
  <c r="B138" i="65" s="1"/>
  <c r="N137" i="65" l="1"/>
  <c r="U137" i="65" s="1"/>
  <c r="P137" i="65"/>
  <c r="Y135" i="65"/>
  <c r="AB135" i="65" s="1"/>
  <c r="AC135" i="65" s="1"/>
  <c r="AD135" i="65" s="1"/>
  <c r="C138" i="65"/>
  <c r="O138" i="65"/>
  <c r="L138" i="65"/>
  <c r="M138" i="65" s="1"/>
  <c r="AH136" i="65"/>
  <c r="AV136" i="65"/>
  <c r="R136" i="65"/>
  <c r="S136" i="65" s="1"/>
  <c r="Q136" i="65"/>
  <c r="AF136" i="65"/>
  <c r="AE136" i="65"/>
  <c r="D137" i="65"/>
  <c r="E137" i="65" s="1"/>
  <c r="F137" i="65" s="1"/>
  <c r="G137" i="65" s="1"/>
  <c r="H137" i="65" s="1"/>
  <c r="I137" i="65" s="1"/>
  <c r="J137" i="65" s="1"/>
  <c r="K137" i="65" s="1"/>
  <c r="AM137" i="65"/>
  <c r="AO137" i="63" a="1"/>
  <c r="AO137" i="63" s="1"/>
  <c r="B139" i="65" s="1"/>
  <c r="N138" i="65" l="1"/>
  <c r="U138" i="65" s="1"/>
  <c r="P138" i="65"/>
  <c r="AG135" i="65"/>
  <c r="Y136" i="65"/>
  <c r="AG136" i="65" s="1"/>
  <c r="AE137" i="65"/>
  <c r="AH137" i="65"/>
  <c r="Q137" i="65"/>
  <c r="AV137" i="65"/>
  <c r="R137" i="65"/>
  <c r="S137" i="65" s="1"/>
  <c r="AF137" i="65"/>
  <c r="O139" i="65"/>
  <c r="C139" i="65"/>
  <c r="L139" i="65"/>
  <c r="M139" i="65" s="1"/>
  <c r="AM138" i="65"/>
  <c r="D138" i="65"/>
  <c r="E138" i="65" s="1"/>
  <c r="F138" i="65" s="1"/>
  <c r="G138" i="65" s="1"/>
  <c r="H138" i="65" s="1"/>
  <c r="I138" i="65" s="1"/>
  <c r="J138" i="65" s="1"/>
  <c r="K138" i="65" s="1"/>
  <c r="AO138" i="63" a="1"/>
  <c r="AO138" i="63" s="1"/>
  <c r="B140" i="65" s="1"/>
  <c r="N139" i="65" l="1"/>
  <c r="U139" i="65" s="1"/>
  <c r="P139" i="65"/>
  <c r="AB136" i="65"/>
  <c r="AC136" i="65" s="1"/>
  <c r="AD136" i="65" s="1"/>
  <c r="Y137" i="65"/>
  <c r="AG137" i="65" s="1"/>
  <c r="O140" i="65"/>
  <c r="C140" i="65"/>
  <c r="L140" i="65"/>
  <c r="M140" i="65" s="1"/>
  <c r="AV138" i="65"/>
  <c r="Q138" i="65"/>
  <c r="R138" i="65"/>
  <c r="S138" i="65" s="1"/>
  <c r="AE138" i="65"/>
  <c r="AH138" i="65"/>
  <c r="AF138" i="65"/>
  <c r="D139" i="65"/>
  <c r="E139" i="65" s="1"/>
  <c r="F139" i="65" s="1"/>
  <c r="G139" i="65" s="1"/>
  <c r="H139" i="65" s="1"/>
  <c r="I139" i="65" s="1"/>
  <c r="J139" i="65" s="1"/>
  <c r="K139" i="65" s="1"/>
  <c r="AM139" i="65"/>
  <c r="AO139" i="63" a="1"/>
  <c r="AO139" i="63" s="1"/>
  <c r="B141" i="65" s="1"/>
  <c r="N140" i="65" l="1"/>
  <c r="U140" i="65" s="1"/>
  <c r="P140" i="65"/>
  <c r="AB137" i="65"/>
  <c r="AC137" i="65" s="1"/>
  <c r="AD137" i="65" s="1"/>
  <c r="Y138" i="65"/>
  <c r="AG138" i="65" s="1"/>
  <c r="L141" i="65"/>
  <c r="M141" i="65" s="1"/>
  <c r="C141" i="65"/>
  <c r="O141" i="65"/>
  <c r="AV139" i="65"/>
  <c r="AH139" i="65"/>
  <c r="AF139" i="65"/>
  <c r="Q139" i="65"/>
  <c r="R139" i="65"/>
  <c r="S139" i="65" s="1"/>
  <c r="Y139" i="65" s="1"/>
  <c r="AE139" i="65"/>
  <c r="AO140" i="63" a="1"/>
  <c r="AO140" i="63" s="1"/>
  <c r="B142" i="65" s="1"/>
  <c r="AM140" i="65"/>
  <c r="D140" i="65"/>
  <c r="E140" i="65" s="1"/>
  <c r="F140" i="65" s="1"/>
  <c r="G140" i="65" s="1"/>
  <c r="H140" i="65" s="1"/>
  <c r="I140" i="65" s="1"/>
  <c r="J140" i="65" s="1"/>
  <c r="K140" i="65" s="1"/>
  <c r="N141" i="65" l="1"/>
  <c r="U141" i="65" s="1"/>
  <c r="P141" i="65"/>
  <c r="AB138" i="65"/>
  <c r="AC138" i="65" s="1"/>
  <c r="AD138" i="65" s="1"/>
  <c r="AB139" i="65"/>
  <c r="AC139" i="65" s="1"/>
  <c r="AD139" i="65" s="1"/>
  <c r="AO141" i="63" a="1"/>
  <c r="AO141" i="63" s="1"/>
  <c r="B143" i="65" s="1"/>
  <c r="AF140" i="65"/>
  <c r="Q140" i="65"/>
  <c r="AH140" i="65"/>
  <c r="AE140" i="65"/>
  <c r="AV140" i="65"/>
  <c r="R140" i="65"/>
  <c r="S140" i="65" s="1"/>
  <c r="AG139" i="65"/>
  <c r="D141" i="65"/>
  <c r="E141" i="65" s="1"/>
  <c r="F141" i="65" s="1"/>
  <c r="G141" i="65" s="1"/>
  <c r="H141" i="65" s="1"/>
  <c r="I141" i="65" s="1"/>
  <c r="J141" i="65" s="1"/>
  <c r="K141" i="65" s="1"/>
  <c r="AM141" i="65"/>
  <c r="L142" i="65"/>
  <c r="M142" i="65" s="1"/>
  <c r="C142" i="65"/>
  <c r="O142" i="65"/>
  <c r="N142" i="65" l="1"/>
  <c r="U142" i="65" s="1"/>
  <c r="P142" i="65"/>
  <c r="Y140" i="65"/>
  <c r="AB140" i="65" s="1"/>
  <c r="AC140" i="65" s="1"/>
  <c r="AD140" i="65" s="1"/>
  <c r="D142" i="65"/>
  <c r="E142" i="65" s="1"/>
  <c r="F142" i="65" s="1"/>
  <c r="G142" i="65" s="1"/>
  <c r="H142" i="65" s="1"/>
  <c r="I142" i="65" s="1"/>
  <c r="J142" i="65" s="1"/>
  <c r="K142" i="65" s="1"/>
  <c r="AM142" i="65"/>
  <c r="L143" i="65"/>
  <c r="M143" i="65" s="1"/>
  <c r="O143" i="65"/>
  <c r="C143" i="65"/>
  <c r="AF141" i="65"/>
  <c r="AE141" i="65"/>
  <c r="AH141" i="65"/>
  <c r="Q141" i="65"/>
  <c r="AV141" i="65"/>
  <c r="R141" i="65"/>
  <c r="S141" i="65" s="1"/>
  <c r="Y141" i="65" s="1"/>
  <c r="AO142" i="63" a="1"/>
  <c r="AO142" i="63" s="1"/>
  <c r="B144" i="65" s="1"/>
  <c r="N143" i="65" l="1"/>
  <c r="U143" i="65" s="1"/>
  <c r="P143" i="65"/>
  <c r="AG140" i="65"/>
  <c r="AB141" i="65"/>
  <c r="AC141" i="65" s="1"/>
  <c r="AD141" i="65" s="1"/>
  <c r="AM143" i="65"/>
  <c r="D143" i="65"/>
  <c r="E143" i="65" s="1"/>
  <c r="F143" i="65" s="1"/>
  <c r="G143" i="65" s="1"/>
  <c r="H143" i="65" s="1"/>
  <c r="I143" i="65" s="1"/>
  <c r="J143" i="65" s="1"/>
  <c r="K143" i="65" s="1"/>
  <c r="AE142" i="65"/>
  <c r="AF142" i="65"/>
  <c r="AH142" i="65"/>
  <c r="AV142" i="65"/>
  <c r="R142" i="65"/>
  <c r="S142" i="65" s="1"/>
  <c r="Q142" i="65"/>
  <c r="C144" i="65"/>
  <c r="O144" i="65"/>
  <c r="L144" i="65"/>
  <c r="M144" i="65" s="1"/>
  <c r="AG141" i="65"/>
  <c r="AO143" i="63" a="1"/>
  <c r="AO143" i="63" s="1"/>
  <c r="B145" i="65" s="1"/>
  <c r="N144" i="65" l="1"/>
  <c r="U144" i="65" s="1"/>
  <c r="P144" i="65"/>
  <c r="Y142" i="65"/>
  <c r="AB142" i="65" s="1"/>
  <c r="AC142" i="65" s="1"/>
  <c r="AD142" i="65" s="1"/>
  <c r="L145" i="65"/>
  <c r="M145" i="65" s="1"/>
  <c r="C145" i="65"/>
  <c r="O145" i="65"/>
  <c r="D144" i="65"/>
  <c r="E144" i="65" s="1"/>
  <c r="F144" i="65" s="1"/>
  <c r="G144" i="65" s="1"/>
  <c r="H144" i="65" s="1"/>
  <c r="I144" i="65" s="1"/>
  <c r="J144" i="65" s="1"/>
  <c r="K144" i="65" s="1"/>
  <c r="AM144" i="65"/>
  <c r="AH143" i="65"/>
  <c r="R143" i="65"/>
  <c r="S143" i="65" s="1"/>
  <c r="AV143" i="65"/>
  <c r="AE143" i="65"/>
  <c r="Q143" i="65"/>
  <c r="AF143" i="65"/>
  <c r="AO144" i="63" a="1"/>
  <c r="AO144" i="63" s="1"/>
  <c r="B146" i="65" s="1"/>
  <c r="N145" i="65" l="1"/>
  <c r="U145" i="65" s="1"/>
  <c r="P145" i="65"/>
  <c r="AG142" i="65"/>
  <c r="Y143" i="65"/>
  <c r="AG143" i="65" s="1"/>
  <c r="AF144" i="65"/>
  <c r="AE144" i="65"/>
  <c r="R144" i="65"/>
  <c r="S144" i="65" s="1"/>
  <c r="Y144" i="65" s="1"/>
  <c r="Q144" i="65"/>
  <c r="AV144" i="65"/>
  <c r="AH144" i="65"/>
  <c r="AO145" i="63" a="1"/>
  <c r="AO145" i="63" s="1"/>
  <c r="B147" i="65" s="1"/>
  <c r="AM145" i="65"/>
  <c r="D145" i="65"/>
  <c r="E145" i="65" s="1"/>
  <c r="F145" i="65" s="1"/>
  <c r="G145" i="65" s="1"/>
  <c r="H145" i="65" s="1"/>
  <c r="I145" i="65" s="1"/>
  <c r="J145" i="65" s="1"/>
  <c r="K145" i="65" s="1"/>
  <c r="L146" i="65"/>
  <c r="M146" i="65" s="1"/>
  <c r="O146" i="65"/>
  <c r="C146" i="65"/>
  <c r="N146" i="65" l="1"/>
  <c r="U146" i="65" s="1"/>
  <c r="P146" i="65"/>
  <c r="AB143" i="65"/>
  <c r="AC143" i="65" s="1"/>
  <c r="AD143" i="65" s="1"/>
  <c r="AB144" i="65"/>
  <c r="AC144" i="65" s="1"/>
  <c r="AD144" i="65" s="1"/>
  <c r="O147" i="65"/>
  <c r="C147" i="65"/>
  <c r="L147" i="65"/>
  <c r="M147" i="65" s="1"/>
  <c r="AM146" i="65"/>
  <c r="D146" i="65"/>
  <c r="E146" i="65" s="1"/>
  <c r="F146" i="65" s="1"/>
  <c r="G146" i="65" s="1"/>
  <c r="H146" i="65" s="1"/>
  <c r="I146" i="65" s="1"/>
  <c r="J146" i="65" s="1"/>
  <c r="K146" i="65" s="1"/>
  <c r="AG144" i="65"/>
  <c r="R145" i="65"/>
  <c r="S145" i="65" s="1"/>
  <c r="AH145" i="65"/>
  <c r="AF145" i="65"/>
  <c r="Q145" i="65"/>
  <c r="AE145" i="65"/>
  <c r="AV145" i="65"/>
  <c r="AO146" i="63" a="1"/>
  <c r="AO146" i="63" s="1"/>
  <c r="B148" i="65" s="1"/>
  <c r="N147" i="65" l="1"/>
  <c r="U147" i="65" s="1"/>
  <c r="P147" i="65"/>
  <c r="Y145" i="65"/>
  <c r="AG145" i="65" s="1"/>
  <c r="O148" i="65"/>
  <c r="L148" i="65"/>
  <c r="M148" i="65" s="1"/>
  <c r="C148" i="65"/>
  <c r="D147" i="65"/>
  <c r="E147" i="65" s="1"/>
  <c r="F147" i="65" s="1"/>
  <c r="G147" i="65" s="1"/>
  <c r="H147" i="65" s="1"/>
  <c r="I147" i="65" s="1"/>
  <c r="J147" i="65" s="1"/>
  <c r="K147" i="65" s="1"/>
  <c r="AM147" i="65"/>
  <c r="AO147" i="63" a="1"/>
  <c r="AO147" i="63" s="1"/>
  <c r="B149" i="65" s="1"/>
  <c r="AH146" i="65"/>
  <c r="AV146" i="65"/>
  <c r="Q146" i="65"/>
  <c r="AE146" i="65"/>
  <c r="R146" i="65"/>
  <c r="S146" i="65" s="1"/>
  <c r="AF146" i="65"/>
  <c r="N148" i="65" l="1"/>
  <c r="U148" i="65" s="1"/>
  <c r="P148" i="65"/>
  <c r="AB145" i="65"/>
  <c r="AC145" i="65" s="1"/>
  <c r="AD145" i="65" s="1"/>
  <c r="Y146" i="65"/>
  <c r="AB146" i="65" s="1"/>
  <c r="AC146" i="65" s="1"/>
  <c r="AD146" i="65" s="1"/>
  <c r="L149" i="65"/>
  <c r="M149" i="65" s="1"/>
  <c r="O149" i="65"/>
  <c r="C149" i="65"/>
  <c r="P149" i="65" s="1"/>
  <c r="AF147" i="65"/>
  <c r="AE147" i="65"/>
  <c r="AV147" i="65"/>
  <c r="R147" i="65"/>
  <c r="S147" i="65" s="1"/>
  <c r="Y147" i="65" s="1"/>
  <c r="AH147" i="65"/>
  <c r="Q147" i="65"/>
  <c r="D148" i="65"/>
  <c r="E148" i="65" s="1"/>
  <c r="F148" i="65" s="1"/>
  <c r="G148" i="65" s="1"/>
  <c r="H148" i="65" s="1"/>
  <c r="I148" i="65" s="1"/>
  <c r="J148" i="65" s="1"/>
  <c r="K148" i="65" s="1"/>
  <c r="AM148" i="65"/>
  <c r="AO148" i="63" a="1"/>
  <c r="AO148" i="63" s="1"/>
  <c r="B150" i="65" s="1"/>
  <c r="AG146" i="65" l="1"/>
  <c r="AB147" i="65"/>
  <c r="AC147" i="65" s="1"/>
  <c r="AD147" i="65" s="1"/>
  <c r="N149" i="65"/>
  <c r="Q149" i="65" s="1"/>
  <c r="AO149" i="63" a="1"/>
  <c r="AO149" i="63" s="1"/>
  <c r="B151" i="65" s="1"/>
  <c r="D149" i="65"/>
  <c r="E149" i="65" s="1"/>
  <c r="F149" i="65" s="1"/>
  <c r="G149" i="65" s="1"/>
  <c r="H149" i="65" s="1"/>
  <c r="I149" i="65" s="1"/>
  <c r="J149" i="65" s="1"/>
  <c r="K149" i="65" s="1"/>
  <c r="AM149" i="65"/>
  <c r="AG147" i="65"/>
  <c r="O150" i="65"/>
  <c r="C150" i="65"/>
  <c r="L150" i="65"/>
  <c r="M150" i="65" s="1"/>
  <c r="R148" i="65"/>
  <c r="S148" i="65" s="1"/>
  <c r="AF148" i="65"/>
  <c r="AE148" i="65"/>
  <c r="Q148" i="65"/>
  <c r="AH148" i="65"/>
  <c r="AV148" i="65"/>
  <c r="N150" i="65" l="1"/>
  <c r="U150" i="65" s="1"/>
  <c r="P150" i="65"/>
  <c r="Y148" i="65"/>
  <c r="AB148" i="65" s="1"/>
  <c r="AC148" i="65" s="1"/>
  <c r="AD148" i="65" s="1"/>
  <c r="R149" i="65"/>
  <c r="S149" i="65" s="1"/>
  <c r="AE149" i="65"/>
  <c r="AH149" i="65" s="1"/>
  <c r="U149" i="65"/>
  <c r="AV149" i="65"/>
  <c r="AO150" i="63" a="1"/>
  <c r="AO150" i="63" s="1"/>
  <c r="B152" i="65" s="1"/>
  <c r="D150" i="65"/>
  <c r="E150" i="65" s="1"/>
  <c r="F150" i="65" s="1"/>
  <c r="G150" i="65" s="1"/>
  <c r="H150" i="65" s="1"/>
  <c r="I150" i="65" s="1"/>
  <c r="J150" i="65" s="1"/>
  <c r="K150" i="65" s="1"/>
  <c r="AM150" i="65"/>
  <c r="L151" i="65"/>
  <c r="M151" i="65" s="1"/>
  <c r="O151" i="65"/>
  <c r="C151" i="65"/>
  <c r="N151" i="65" l="1"/>
  <c r="U151" i="65" s="1"/>
  <c r="P151" i="65"/>
  <c r="AG148" i="65"/>
  <c r="Y149" i="65"/>
  <c r="AB149" i="65" s="1"/>
  <c r="AC149" i="65" s="1"/>
  <c r="AD149" i="65" s="1"/>
  <c r="AF149" i="65"/>
  <c r="AE150" i="65"/>
  <c r="AF150" i="65"/>
  <c r="R150" i="65"/>
  <c r="S150" i="65" s="1"/>
  <c r="Y150" i="65" s="1"/>
  <c r="Q150" i="65"/>
  <c r="AV150" i="65"/>
  <c r="AH150" i="65"/>
  <c r="D151" i="65"/>
  <c r="E151" i="65" s="1"/>
  <c r="F151" i="65" s="1"/>
  <c r="G151" i="65" s="1"/>
  <c r="H151" i="65" s="1"/>
  <c r="I151" i="65" s="1"/>
  <c r="J151" i="65" s="1"/>
  <c r="K151" i="65" s="1"/>
  <c r="AM151" i="65"/>
  <c r="AO151" i="63" a="1"/>
  <c r="AO151" i="63" s="1"/>
  <c r="B153" i="65" s="1"/>
  <c r="O152" i="65"/>
  <c r="C152" i="65"/>
  <c r="L152" i="65"/>
  <c r="M152" i="65" s="1"/>
  <c r="N152" i="65" l="1"/>
  <c r="U152" i="65" s="1"/>
  <c r="P152" i="65"/>
  <c r="AB150" i="65"/>
  <c r="AC150" i="65" s="1"/>
  <c r="AD150" i="65" s="1"/>
  <c r="AG149" i="65"/>
  <c r="D152" i="65"/>
  <c r="E152" i="65" s="1"/>
  <c r="F152" i="65" s="1"/>
  <c r="G152" i="65" s="1"/>
  <c r="H152" i="65" s="1"/>
  <c r="I152" i="65" s="1"/>
  <c r="J152" i="65" s="1"/>
  <c r="K152" i="65" s="1"/>
  <c r="AM152" i="65"/>
  <c r="AE151" i="65"/>
  <c r="R151" i="65"/>
  <c r="S151" i="65" s="1"/>
  <c r="Q151" i="65"/>
  <c r="AF151" i="65"/>
  <c r="AH151" i="65"/>
  <c r="AV151" i="65"/>
  <c r="AG150" i="65"/>
  <c r="C153" i="65"/>
  <c r="L153" i="65"/>
  <c r="M153" i="65" s="1"/>
  <c r="O153" i="65"/>
  <c r="AO152" i="63" a="1"/>
  <c r="AO152" i="63" s="1"/>
  <c r="B154" i="65" s="1"/>
  <c r="N153" i="65" l="1"/>
  <c r="U153" i="65" s="1"/>
  <c r="P153" i="65"/>
  <c r="Y151" i="65"/>
  <c r="AG151" i="65" s="1"/>
  <c r="AH152" i="65"/>
  <c r="Q152" i="65"/>
  <c r="R152" i="65"/>
  <c r="S152" i="65" s="1"/>
  <c r="AV152" i="65"/>
  <c r="AF152" i="65"/>
  <c r="AE152" i="65"/>
  <c r="C154" i="65"/>
  <c r="O154" i="65"/>
  <c r="L154" i="65"/>
  <c r="M154" i="65" s="1"/>
  <c r="D153" i="65"/>
  <c r="E153" i="65" s="1"/>
  <c r="F153" i="65" s="1"/>
  <c r="G153" i="65" s="1"/>
  <c r="H153" i="65" s="1"/>
  <c r="I153" i="65" s="1"/>
  <c r="J153" i="65" s="1"/>
  <c r="K153" i="65" s="1"/>
  <c r="AM153" i="65"/>
  <c r="AO153" i="63" a="1"/>
  <c r="AO153" i="63" s="1"/>
  <c r="B155" i="65" s="1"/>
  <c r="N154" i="65" l="1"/>
  <c r="U154" i="65" s="1"/>
  <c r="P154" i="65"/>
  <c r="AB151" i="65"/>
  <c r="AC151" i="65" s="1"/>
  <c r="AD151" i="65" s="1"/>
  <c r="Y152" i="65"/>
  <c r="AB152" i="65" s="1"/>
  <c r="AC152" i="65" s="1"/>
  <c r="AD152" i="65" s="1"/>
  <c r="AO154" i="63" a="1"/>
  <c r="AO154" i="63" s="1"/>
  <c r="B156" i="65" s="1"/>
  <c r="AM154" i="65"/>
  <c r="D154" i="65"/>
  <c r="E154" i="65" s="1"/>
  <c r="F154" i="65" s="1"/>
  <c r="G154" i="65" s="1"/>
  <c r="H154" i="65" s="1"/>
  <c r="I154" i="65" s="1"/>
  <c r="J154" i="65" s="1"/>
  <c r="K154" i="65" s="1"/>
  <c r="L155" i="65"/>
  <c r="M155" i="65" s="1"/>
  <c r="O155" i="65"/>
  <c r="C155" i="65"/>
  <c r="R153" i="65"/>
  <c r="S153" i="65" s="1"/>
  <c r="AE153" i="65"/>
  <c r="AV153" i="65"/>
  <c r="Q153" i="65"/>
  <c r="AF153" i="65"/>
  <c r="AH153" i="65"/>
  <c r="N155" i="65" l="1"/>
  <c r="U155" i="65" s="1"/>
  <c r="P155" i="65"/>
  <c r="Y153" i="65"/>
  <c r="AB153" i="65" s="1"/>
  <c r="AC153" i="65" s="1"/>
  <c r="AD153" i="65" s="1"/>
  <c r="AG152" i="65"/>
  <c r="AO155" i="63" a="1"/>
  <c r="AO155" i="63" s="1"/>
  <c r="B157" i="65" s="1"/>
  <c r="AM155" i="65"/>
  <c r="D155" i="65"/>
  <c r="E155" i="65" s="1"/>
  <c r="F155" i="65" s="1"/>
  <c r="G155" i="65" s="1"/>
  <c r="H155" i="65" s="1"/>
  <c r="I155" i="65" s="1"/>
  <c r="J155" i="65" s="1"/>
  <c r="K155" i="65" s="1"/>
  <c r="AE154" i="65"/>
  <c r="AV154" i="65"/>
  <c r="AH154" i="65"/>
  <c r="Q154" i="65"/>
  <c r="R154" i="65"/>
  <c r="S154" i="65" s="1"/>
  <c r="Y154" i="65" s="1"/>
  <c r="AF154" i="65"/>
  <c r="L156" i="65"/>
  <c r="M156" i="65" s="1"/>
  <c r="O156" i="65"/>
  <c r="C156" i="65"/>
  <c r="N156" i="65" l="1"/>
  <c r="U156" i="65" s="1"/>
  <c r="P156" i="65"/>
  <c r="AB154" i="65"/>
  <c r="AC154" i="65" s="1"/>
  <c r="AD154" i="65" s="1"/>
  <c r="AG153" i="65"/>
  <c r="AG154" i="65"/>
  <c r="AO156" i="63" a="1"/>
  <c r="AO156" i="63" s="1"/>
  <c r="B158" i="65" s="1"/>
  <c r="R155" i="65"/>
  <c r="S155" i="65" s="1"/>
  <c r="Q155" i="65"/>
  <c r="AE155" i="65"/>
  <c r="AF155" i="65"/>
  <c r="AV155" i="65"/>
  <c r="AH155" i="65"/>
  <c r="D156" i="65"/>
  <c r="E156" i="65" s="1"/>
  <c r="F156" i="65" s="1"/>
  <c r="G156" i="65" s="1"/>
  <c r="H156" i="65" s="1"/>
  <c r="I156" i="65" s="1"/>
  <c r="J156" i="65" s="1"/>
  <c r="K156" i="65" s="1"/>
  <c r="AM156" i="65"/>
  <c r="L157" i="65"/>
  <c r="M157" i="65" s="1"/>
  <c r="O157" i="65"/>
  <c r="C157" i="65"/>
  <c r="N157" i="65" l="1"/>
  <c r="U157" i="65" s="1"/>
  <c r="P157" i="65"/>
  <c r="Y155" i="65"/>
  <c r="AB155" i="65" s="1"/>
  <c r="AC155" i="65" s="1"/>
  <c r="AD155" i="65" s="1"/>
  <c r="AV156" i="65"/>
  <c r="Q156" i="65"/>
  <c r="AF156" i="65"/>
  <c r="AH156" i="65"/>
  <c r="AE156" i="65"/>
  <c r="R156" i="65"/>
  <c r="S156" i="65" s="1"/>
  <c r="AO157" i="63" a="1"/>
  <c r="AO157" i="63" s="1"/>
  <c r="B159" i="65" s="1"/>
  <c r="D157" i="65"/>
  <c r="E157" i="65" s="1"/>
  <c r="F157" i="65" s="1"/>
  <c r="G157" i="65" s="1"/>
  <c r="H157" i="65" s="1"/>
  <c r="I157" i="65" s="1"/>
  <c r="J157" i="65" s="1"/>
  <c r="K157" i="65" s="1"/>
  <c r="AM157" i="65"/>
  <c r="L158" i="65"/>
  <c r="M158" i="65" s="1"/>
  <c r="O158" i="65"/>
  <c r="C158" i="65"/>
  <c r="N158" i="65" l="1"/>
  <c r="U158" i="65" s="1"/>
  <c r="P158" i="65"/>
  <c r="AG155" i="65"/>
  <c r="Y156" i="65"/>
  <c r="AB156" i="65" s="1"/>
  <c r="AC156" i="65" s="1"/>
  <c r="AD156" i="65" s="1"/>
  <c r="AM158" i="65"/>
  <c r="D158" i="65"/>
  <c r="E158" i="65" s="1"/>
  <c r="F158" i="65" s="1"/>
  <c r="G158" i="65" s="1"/>
  <c r="H158" i="65" s="1"/>
  <c r="I158" i="65" s="1"/>
  <c r="J158" i="65" s="1"/>
  <c r="K158" i="65" s="1"/>
  <c r="AH157" i="65"/>
  <c r="AE157" i="65"/>
  <c r="R157" i="65"/>
  <c r="S157" i="65" s="1"/>
  <c r="Q157" i="65"/>
  <c r="AV157" i="65"/>
  <c r="AF157" i="65"/>
  <c r="C159" i="65"/>
  <c r="O159" i="65"/>
  <c r="L159" i="65"/>
  <c r="M159" i="65" s="1"/>
  <c r="AO158" i="63" a="1"/>
  <c r="AO158" i="63" s="1"/>
  <c r="B160" i="65" s="1"/>
  <c r="N159" i="65" l="1"/>
  <c r="U159" i="65" s="1"/>
  <c r="P159" i="65"/>
  <c r="AG156" i="65"/>
  <c r="Y157" i="65"/>
  <c r="AB157" i="65" s="1"/>
  <c r="AC157" i="65" s="1"/>
  <c r="AD157" i="65" s="1"/>
  <c r="AO159" i="63" a="1"/>
  <c r="AO159" i="63" s="1"/>
  <c r="B161" i="65" s="1"/>
  <c r="D159" i="65"/>
  <c r="E159" i="65" s="1"/>
  <c r="F159" i="65" s="1"/>
  <c r="G159" i="65" s="1"/>
  <c r="H159" i="65" s="1"/>
  <c r="I159" i="65" s="1"/>
  <c r="J159" i="65" s="1"/>
  <c r="K159" i="65" s="1"/>
  <c r="AM159" i="65"/>
  <c r="R158" i="65"/>
  <c r="S158" i="65" s="1"/>
  <c r="Q158" i="65"/>
  <c r="AH158" i="65"/>
  <c r="AE158" i="65"/>
  <c r="AF158" i="65"/>
  <c r="AV158" i="65"/>
  <c r="O160" i="65"/>
  <c r="L160" i="65"/>
  <c r="M160" i="65" s="1"/>
  <c r="C160" i="65"/>
  <c r="N160" i="65" l="1"/>
  <c r="U160" i="65" s="1"/>
  <c r="P160" i="65"/>
  <c r="Y158" i="65"/>
  <c r="AB158" i="65" s="1"/>
  <c r="AC158" i="65" s="1"/>
  <c r="AD158" i="65" s="1"/>
  <c r="AG157" i="65"/>
  <c r="L161" i="65"/>
  <c r="M161" i="65" s="1"/>
  <c r="C161" i="65"/>
  <c r="O161" i="65"/>
  <c r="AO160" i="63" a="1"/>
  <c r="AO160" i="63" s="1"/>
  <c r="B162" i="65" s="1"/>
  <c r="AM160" i="65"/>
  <c r="D160" i="65"/>
  <c r="E160" i="65" s="1"/>
  <c r="F160" i="65" s="1"/>
  <c r="G160" i="65" s="1"/>
  <c r="H160" i="65" s="1"/>
  <c r="I160" i="65" s="1"/>
  <c r="J160" i="65" s="1"/>
  <c r="K160" i="65" s="1"/>
  <c r="R159" i="65"/>
  <c r="S159" i="65" s="1"/>
  <c r="Y159" i="65" s="1"/>
  <c r="AV159" i="65"/>
  <c r="AF159" i="65"/>
  <c r="AH159" i="65"/>
  <c r="AE159" i="65"/>
  <c r="Q159" i="65"/>
  <c r="N161" i="65" l="1"/>
  <c r="U161" i="65" s="1"/>
  <c r="P161" i="65"/>
  <c r="AG158" i="65"/>
  <c r="AB159" i="65"/>
  <c r="AC159" i="65" s="1"/>
  <c r="AD159" i="65" s="1"/>
  <c r="AM161" i="65"/>
  <c r="D161" i="65"/>
  <c r="E161" i="65" s="1"/>
  <c r="F161" i="65" s="1"/>
  <c r="G161" i="65" s="1"/>
  <c r="H161" i="65" s="1"/>
  <c r="I161" i="65" s="1"/>
  <c r="J161" i="65" s="1"/>
  <c r="K161" i="65" s="1"/>
  <c r="L162" i="65"/>
  <c r="M162" i="65" s="1"/>
  <c r="O162" i="65"/>
  <c r="C162" i="65"/>
  <c r="AO161" i="63" a="1"/>
  <c r="AO161" i="63" s="1"/>
  <c r="B163" i="65" s="1"/>
  <c r="AG159" i="65"/>
  <c r="AH160" i="65"/>
  <c r="R160" i="65"/>
  <c r="S160" i="65" s="1"/>
  <c r="Q160" i="65"/>
  <c r="AV160" i="65"/>
  <c r="AF160" i="65"/>
  <c r="AE160" i="65"/>
  <c r="N162" i="65" l="1"/>
  <c r="U162" i="65" s="1"/>
  <c r="P162" i="65"/>
  <c r="Y160" i="65"/>
  <c r="AB160" i="65" s="1"/>
  <c r="AC160" i="65" s="1"/>
  <c r="AD160" i="65" s="1"/>
  <c r="L163" i="65"/>
  <c r="M163" i="65" s="1"/>
  <c r="O163" i="65"/>
  <c r="C163" i="65"/>
  <c r="AH161" i="65"/>
  <c r="Q161" i="65"/>
  <c r="AE161" i="65"/>
  <c r="AV161" i="65"/>
  <c r="AF161" i="65"/>
  <c r="R161" i="65"/>
  <c r="S161" i="65" s="1"/>
  <c r="AM162" i="65"/>
  <c r="D162" i="65"/>
  <c r="E162" i="65" s="1"/>
  <c r="F162" i="65" s="1"/>
  <c r="G162" i="65" s="1"/>
  <c r="H162" i="65" s="1"/>
  <c r="I162" i="65" s="1"/>
  <c r="J162" i="65" s="1"/>
  <c r="K162" i="65" s="1"/>
  <c r="AO162" i="63" a="1"/>
  <c r="AO162" i="63" s="1"/>
  <c r="B164" i="65" s="1"/>
  <c r="N163" i="65" l="1"/>
  <c r="U163" i="65" s="1"/>
  <c r="P163" i="65"/>
  <c r="AG160" i="65"/>
  <c r="Y161" i="65"/>
  <c r="AB161" i="65" s="1"/>
  <c r="AC161" i="65" s="1"/>
  <c r="AD161" i="65" s="1"/>
  <c r="R162" i="65"/>
  <c r="S162" i="65" s="1"/>
  <c r="AV162" i="65"/>
  <c r="AF162" i="65"/>
  <c r="AE162" i="65"/>
  <c r="Q162" i="65"/>
  <c r="AH162" i="65"/>
  <c r="AM163" i="65"/>
  <c r="D163" i="65"/>
  <c r="E163" i="65" s="1"/>
  <c r="F163" i="65" s="1"/>
  <c r="G163" i="65" s="1"/>
  <c r="H163" i="65" s="1"/>
  <c r="I163" i="65" s="1"/>
  <c r="J163" i="65" s="1"/>
  <c r="K163" i="65" s="1"/>
  <c r="AO163" i="63" a="1"/>
  <c r="AO163" i="63" s="1"/>
  <c r="B165" i="65" s="1"/>
  <c r="O164" i="65"/>
  <c r="L164" i="65"/>
  <c r="M164" i="65" s="1"/>
  <c r="C164" i="65"/>
  <c r="N164" i="65" l="1"/>
  <c r="U164" i="65" s="1"/>
  <c r="P164" i="65"/>
  <c r="Y162" i="65"/>
  <c r="AB162" i="65" s="1"/>
  <c r="AC162" i="65" s="1"/>
  <c r="AD162" i="65" s="1"/>
  <c r="AG161" i="65"/>
  <c r="AO164" i="63" a="1"/>
  <c r="AO164" i="63" s="1"/>
  <c r="B166" i="65" s="1"/>
  <c r="D164" i="65"/>
  <c r="E164" i="65" s="1"/>
  <c r="F164" i="65" s="1"/>
  <c r="G164" i="65" s="1"/>
  <c r="H164" i="65" s="1"/>
  <c r="I164" i="65" s="1"/>
  <c r="J164" i="65" s="1"/>
  <c r="K164" i="65" s="1"/>
  <c r="AM164" i="65"/>
  <c r="Q163" i="65"/>
  <c r="R163" i="65"/>
  <c r="S163" i="65" s="1"/>
  <c r="Y163" i="65" s="1"/>
  <c r="AF163" i="65"/>
  <c r="AV163" i="65"/>
  <c r="AE163" i="65"/>
  <c r="AH163" i="65"/>
  <c r="C165" i="65"/>
  <c r="L165" i="65"/>
  <c r="M165" i="65" s="1"/>
  <c r="O165" i="65"/>
  <c r="N165" i="65" l="1"/>
  <c r="U165" i="65" s="1"/>
  <c r="P165" i="65"/>
  <c r="AG162" i="65"/>
  <c r="AB163" i="65"/>
  <c r="AC163" i="65" s="1"/>
  <c r="AD163" i="65" s="1"/>
  <c r="AG163" i="65"/>
  <c r="AO165" i="63" a="1"/>
  <c r="AO165" i="63" s="1"/>
  <c r="B167" i="65" s="1"/>
  <c r="AF164" i="65"/>
  <c r="AV164" i="65"/>
  <c r="Q164" i="65"/>
  <c r="R164" i="65"/>
  <c r="S164" i="65" s="1"/>
  <c r="AE164" i="65"/>
  <c r="AH164" i="65"/>
  <c r="D165" i="65"/>
  <c r="E165" i="65" s="1"/>
  <c r="F165" i="65" s="1"/>
  <c r="G165" i="65" s="1"/>
  <c r="H165" i="65" s="1"/>
  <c r="I165" i="65" s="1"/>
  <c r="J165" i="65" s="1"/>
  <c r="K165" i="65" s="1"/>
  <c r="AM165" i="65"/>
  <c r="O166" i="65"/>
  <c r="C166" i="65"/>
  <c r="L166" i="65"/>
  <c r="M166" i="65" s="1"/>
  <c r="N166" i="65" l="1"/>
  <c r="U166" i="65" s="1"/>
  <c r="P166" i="65"/>
  <c r="Y164" i="65"/>
  <c r="AB164" i="65" s="1"/>
  <c r="AC164" i="65" s="1"/>
  <c r="AD164" i="65" s="1"/>
  <c r="L167" i="65"/>
  <c r="M167" i="65" s="1"/>
  <c r="O167" i="65"/>
  <c r="C167" i="65"/>
  <c r="AH165" i="65"/>
  <c r="AF165" i="65"/>
  <c r="R165" i="65"/>
  <c r="S165" i="65" s="1"/>
  <c r="AV165" i="65"/>
  <c r="Q165" i="65"/>
  <c r="AE165" i="65"/>
  <c r="AM166" i="65"/>
  <c r="D166" i="65"/>
  <c r="E166" i="65" s="1"/>
  <c r="F166" i="65" s="1"/>
  <c r="G166" i="65" s="1"/>
  <c r="H166" i="65" s="1"/>
  <c r="I166" i="65" s="1"/>
  <c r="J166" i="65" s="1"/>
  <c r="K166" i="65" s="1"/>
  <c r="AO166" i="63" a="1"/>
  <c r="AO166" i="63" s="1"/>
  <c r="B168" i="65" s="1"/>
  <c r="N167" i="65" l="1"/>
  <c r="U167" i="65" s="1"/>
  <c r="P167" i="65"/>
  <c r="AG164" i="65"/>
  <c r="Y165" i="65"/>
  <c r="AB165" i="65" s="1"/>
  <c r="AC165" i="65" s="1"/>
  <c r="AD165" i="65" s="1"/>
  <c r="AO167" i="63" a="1"/>
  <c r="AO167" i="63" s="1"/>
  <c r="B169" i="65" s="1"/>
  <c r="AM167" i="65"/>
  <c r="D167" i="65"/>
  <c r="E167" i="65" s="1"/>
  <c r="F167" i="65" s="1"/>
  <c r="G167" i="65" s="1"/>
  <c r="H167" i="65" s="1"/>
  <c r="I167" i="65" s="1"/>
  <c r="J167" i="65" s="1"/>
  <c r="K167" i="65" s="1"/>
  <c r="C168" i="65"/>
  <c r="L168" i="65"/>
  <c r="M168" i="65" s="1"/>
  <c r="O168" i="65"/>
  <c r="AH166" i="65"/>
  <c r="AV166" i="65"/>
  <c r="AE166" i="65"/>
  <c r="Q166" i="65"/>
  <c r="R166" i="65"/>
  <c r="S166" i="65" s="1"/>
  <c r="Y166" i="65" s="1"/>
  <c r="AF166" i="65"/>
  <c r="N168" i="65" l="1"/>
  <c r="U168" i="65" s="1"/>
  <c r="P168" i="65"/>
  <c r="AG165" i="65"/>
  <c r="AB166" i="65"/>
  <c r="AC166" i="65" s="1"/>
  <c r="AD166" i="65" s="1"/>
  <c r="AO168" i="63" a="1"/>
  <c r="AO168" i="63" s="1"/>
  <c r="B170" i="65" s="1"/>
  <c r="AG166" i="65"/>
  <c r="D168" i="65"/>
  <c r="E168" i="65" s="1"/>
  <c r="F168" i="65" s="1"/>
  <c r="G168" i="65" s="1"/>
  <c r="H168" i="65" s="1"/>
  <c r="I168" i="65" s="1"/>
  <c r="J168" i="65" s="1"/>
  <c r="K168" i="65" s="1"/>
  <c r="AM168" i="65"/>
  <c r="AF167" i="65"/>
  <c r="AH167" i="65"/>
  <c r="R167" i="65"/>
  <c r="S167" i="65" s="1"/>
  <c r="Y167" i="65" s="1"/>
  <c r="AV167" i="65"/>
  <c r="AE167" i="65"/>
  <c r="Q167" i="65"/>
  <c r="C169" i="65"/>
  <c r="O169" i="65"/>
  <c r="L169" i="65"/>
  <c r="M169" i="65" s="1"/>
  <c r="N169" i="65" l="1"/>
  <c r="U169" i="65" s="1"/>
  <c r="P169" i="65"/>
  <c r="AB167" i="65"/>
  <c r="AC167" i="65" s="1"/>
  <c r="AD167" i="65" s="1"/>
  <c r="AO169" i="63" a="1"/>
  <c r="AO169" i="63" s="1"/>
  <c r="B171" i="65" s="1"/>
  <c r="AF168" i="65"/>
  <c r="Q168" i="65"/>
  <c r="R168" i="65"/>
  <c r="S168" i="65" s="1"/>
  <c r="AH168" i="65"/>
  <c r="AE168" i="65"/>
  <c r="AV168" i="65"/>
  <c r="AM169" i="65"/>
  <c r="D169" i="65"/>
  <c r="E169" i="65" s="1"/>
  <c r="F169" i="65" s="1"/>
  <c r="G169" i="65" s="1"/>
  <c r="H169" i="65" s="1"/>
  <c r="I169" i="65" s="1"/>
  <c r="J169" i="65" s="1"/>
  <c r="K169" i="65" s="1"/>
  <c r="AG167" i="65"/>
  <c r="L170" i="65"/>
  <c r="M170" i="65" s="1"/>
  <c r="C170" i="65"/>
  <c r="O170" i="65"/>
  <c r="N170" i="65" l="1"/>
  <c r="U170" i="65" s="1"/>
  <c r="P170" i="65"/>
  <c r="Y168" i="65"/>
  <c r="AB168" i="65" s="1"/>
  <c r="AC168" i="65" s="1"/>
  <c r="AD168" i="65" s="1"/>
  <c r="D170" i="65"/>
  <c r="E170" i="65" s="1"/>
  <c r="F170" i="65" s="1"/>
  <c r="G170" i="65" s="1"/>
  <c r="H170" i="65" s="1"/>
  <c r="I170" i="65" s="1"/>
  <c r="J170" i="65" s="1"/>
  <c r="K170" i="65" s="1"/>
  <c r="AM170" i="65"/>
  <c r="AE169" i="65"/>
  <c r="AV169" i="65"/>
  <c r="AF169" i="65"/>
  <c r="R169" i="65"/>
  <c r="S169" i="65" s="1"/>
  <c r="Q169" i="65"/>
  <c r="AH169" i="65"/>
  <c r="AO170" i="63" a="1"/>
  <c r="AO170" i="63" s="1"/>
  <c r="B172" i="65" s="1"/>
  <c r="L171" i="65"/>
  <c r="M171" i="65" s="1"/>
  <c r="C171" i="65"/>
  <c r="O171" i="65"/>
  <c r="N171" i="65" l="1"/>
  <c r="U171" i="65" s="1"/>
  <c r="P171" i="65"/>
  <c r="AG168" i="65"/>
  <c r="Y169" i="65"/>
  <c r="AB169" i="65" s="1"/>
  <c r="AC169" i="65" s="1"/>
  <c r="AD169" i="65" s="1"/>
  <c r="AO171" i="63" a="1"/>
  <c r="AO171" i="63" s="1"/>
  <c r="B173" i="65" s="1"/>
  <c r="C172" i="65"/>
  <c r="L172" i="65"/>
  <c r="M172" i="65" s="1"/>
  <c r="O172" i="65"/>
  <c r="AE170" i="65"/>
  <c r="AV170" i="65"/>
  <c r="Q170" i="65"/>
  <c r="R170" i="65"/>
  <c r="S170" i="65" s="1"/>
  <c r="Y170" i="65" s="1"/>
  <c r="AH170" i="65"/>
  <c r="AF170" i="65"/>
  <c r="D171" i="65"/>
  <c r="E171" i="65" s="1"/>
  <c r="F171" i="65" s="1"/>
  <c r="G171" i="65" s="1"/>
  <c r="H171" i="65" s="1"/>
  <c r="I171" i="65" s="1"/>
  <c r="J171" i="65" s="1"/>
  <c r="K171" i="65" s="1"/>
  <c r="AM171" i="65"/>
  <c r="N172" i="65" l="1"/>
  <c r="U172" i="65" s="1"/>
  <c r="P172" i="65"/>
  <c r="AB170" i="65"/>
  <c r="AC170" i="65" s="1"/>
  <c r="AD170" i="65" s="1"/>
  <c r="AG169" i="65"/>
  <c r="AO172" i="63" a="1"/>
  <c r="AO172" i="63" s="1"/>
  <c r="B174" i="65" s="1"/>
  <c r="AG170" i="65"/>
  <c r="AM172" i="65"/>
  <c r="D172" i="65"/>
  <c r="E172" i="65" s="1"/>
  <c r="F172" i="65" s="1"/>
  <c r="G172" i="65" s="1"/>
  <c r="H172" i="65" s="1"/>
  <c r="I172" i="65" s="1"/>
  <c r="J172" i="65" s="1"/>
  <c r="K172" i="65" s="1"/>
  <c r="O173" i="65"/>
  <c r="L173" i="65"/>
  <c r="M173" i="65" s="1"/>
  <c r="C173" i="65"/>
  <c r="AF171" i="65"/>
  <c r="AH171" i="65"/>
  <c r="AE171" i="65"/>
  <c r="AV171" i="65"/>
  <c r="Q171" i="65"/>
  <c r="R171" i="65"/>
  <c r="S171" i="65" s="1"/>
  <c r="N173" i="65" l="1"/>
  <c r="U173" i="65" s="1"/>
  <c r="P173" i="65"/>
  <c r="Y171" i="65"/>
  <c r="AB171" i="65" s="1"/>
  <c r="AC171" i="65" s="1"/>
  <c r="AD171" i="65" s="1"/>
  <c r="AO173" i="63" a="1"/>
  <c r="AO173" i="63" s="1"/>
  <c r="B175" i="65" s="1"/>
  <c r="D173" i="65"/>
  <c r="E173" i="65" s="1"/>
  <c r="F173" i="65" s="1"/>
  <c r="G173" i="65" s="1"/>
  <c r="H173" i="65" s="1"/>
  <c r="I173" i="65" s="1"/>
  <c r="J173" i="65" s="1"/>
  <c r="K173" i="65" s="1"/>
  <c r="AM173" i="65"/>
  <c r="Q172" i="65"/>
  <c r="R172" i="65"/>
  <c r="S172" i="65" s="1"/>
  <c r="AV172" i="65"/>
  <c r="AE172" i="65"/>
  <c r="AF172" i="65"/>
  <c r="AH172" i="65"/>
  <c r="L174" i="65"/>
  <c r="M174" i="65" s="1"/>
  <c r="O174" i="65"/>
  <c r="C174" i="65"/>
  <c r="N174" i="65" l="1"/>
  <c r="U174" i="65" s="1"/>
  <c r="P174" i="65"/>
  <c r="Y172" i="65"/>
  <c r="AB172" i="65" s="1"/>
  <c r="AC172" i="65" s="1"/>
  <c r="AD172" i="65" s="1"/>
  <c r="AG171" i="65"/>
  <c r="AM174" i="65"/>
  <c r="D174" i="65"/>
  <c r="E174" i="65" s="1"/>
  <c r="F174" i="65" s="1"/>
  <c r="G174" i="65" s="1"/>
  <c r="H174" i="65" s="1"/>
  <c r="I174" i="65" s="1"/>
  <c r="J174" i="65" s="1"/>
  <c r="K174" i="65" s="1"/>
  <c r="AH173" i="65"/>
  <c r="AV173" i="65"/>
  <c r="R173" i="65"/>
  <c r="S173" i="65" s="1"/>
  <c r="Y173" i="65" s="1"/>
  <c r="AE173" i="65"/>
  <c r="Q173" i="65"/>
  <c r="AF173" i="65"/>
  <c r="L175" i="65"/>
  <c r="M175" i="65" s="1"/>
  <c r="C175" i="65"/>
  <c r="O175" i="65"/>
  <c r="AO174" i="63" a="1"/>
  <c r="AO174" i="63" s="1"/>
  <c r="B176" i="65" s="1"/>
  <c r="N175" i="65" l="1"/>
  <c r="U175" i="65" s="1"/>
  <c r="P175" i="65"/>
  <c r="AG172" i="65"/>
  <c r="AB173" i="65"/>
  <c r="AC173" i="65" s="1"/>
  <c r="AD173" i="65" s="1"/>
  <c r="D175" i="65"/>
  <c r="E175" i="65" s="1"/>
  <c r="F175" i="65" s="1"/>
  <c r="G175" i="65" s="1"/>
  <c r="H175" i="65" s="1"/>
  <c r="I175" i="65" s="1"/>
  <c r="J175" i="65" s="1"/>
  <c r="K175" i="65" s="1"/>
  <c r="AM175" i="65"/>
  <c r="AO175" i="63" a="1"/>
  <c r="AO175" i="63" s="1"/>
  <c r="B177" i="65" s="1"/>
  <c r="Q174" i="65"/>
  <c r="AF174" i="65"/>
  <c r="R174" i="65"/>
  <c r="S174" i="65" s="1"/>
  <c r="AE174" i="65"/>
  <c r="AH174" i="65"/>
  <c r="AV174" i="65"/>
  <c r="C176" i="65"/>
  <c r="L176" i="65"/>
  <c r="M176" i="65" s="1"/>
  <c r="O176" i="65"/>
  <c r="AG173" i="65"/>
  <c r="N176" i="65" l="1"/>
  <c r="U176" i="65" s="1"/>
  <c r="P176" i="65"/>
  <c r="Y174" i="65"/>
  <c r="AB174" i="65" s="1"/>
  <c r="AC174" i="65" s="1"/>
  <c r="AD174" i="65" s="1"/>
  <c r="AO176" i="63" a="1"/>
  <c r="AO176" i="63" s="1"/>
  <c r="B178" i="65" s="1"/>
  <c r="AM176" i="65"/>
  <c r="D176" i="65"/>
  <c r="E176" i="65" s="1"/>
  <c r="F176" i="65" s="1"/>
  <c r="G176" i="65" s="1"/>
  <c r="H176" i="65" s="1"/>
  <c r="I176" i="65" s="1"/>
  <c r="J176" i="65" s="1"/>
  <c r="K176" i="65" s="1"/>
  <c r="R175" i="65"/>
  <c r="S175" i="65" s="1"/>
  <c r="AH175" i="65"/>
  <c r="AF175" i="65"/>
  <c r="Q175" i="65"/>
  <c r="AV175" i="65"/>
  <c r="AE175" i="65"/>
  <c r="L177" i="65"/>
  <c r="M177" i="65" s="1"/>
  <c r="C177" i="65"/>
  <c r="O177" i="65"/>
  <c r="N177" i="65" l="1"/>
  <c r="U177" i="65" s="1"/>
  <c r="P177" i="65"/>
  <c r="AG174" i="65"/>
  <c r="Y175" i="65"/>
  <c r="AB175" i="65" s="1"/>
  <c r="AC175" i="65" s="1"/>
  <c r="AD175" i="65" s="1"/>
  <c r="AO177" i="63" a="1"/>
  <c r="AO177" i="63" s="1"/>
  <c r="B179" i="65" s="1"/>
  <c r="AM177" i="65"/>
  <c r="D177" i="65"/>
  <c r="E177" i="65" s="1"/>
  <c r="F177" i="65" s="1"/>
  <c r="G177" i="65" s="1"/>
  <c r="H177" i="65" s="1"/>
  <c r="I177" i="65" s="1"/>
  <c r="J177" i="65" s="1"/>
  <c r="K177" i="65" s="1"/>
  <c r="AV176" i="65"/>
  <c r="AE176" i="65"/>
  <c r="AH176" i="65"/>
  <c r="R176" i="65"/>
  <c r="S176" i="65" s="1"/>
  <c r="Q176" i="65"/>
  <c r="AF176" i="65"/>
  <c r="C178" i="65"/>
  <c r="O178" i="65"/>
  <c r="L178" i="65"/>
  <c r="M178" i="65" s="1"/>
  <c r="N178" i="65" l="1"/>
  <c r="U178" i="65" s="1"/>
  <c r="P178" i="65"/>
  <c r="AG175" i="65"/>
  <c r="Y176" i="65"/>
  <c r="AB176" i="65" s="1"/>
  <c r="AC176" i="65" s="1"/>
  <c r="AD176" i="65" s="1"/>
  <c r="AM178" i="65"/>
  <c r="D178" i="65"/>
  <c r="E178" i="65" s="1"/>
  <c r="F178" i="65" s="1"/>
  <c r="G178" i="65" s="1"/>
  <c r="H178" i="65" s="1"/>
  <c r="I178" i="65" s="1"/>
  <c r="J178" i="65" s="1"/>
  <c r="K178" i="65" s="1"/>
  <c r="C179" i="65"/>
  <c r="L179" i="65"/>
  <c r="M179" i="65" s="1"/>
  <c r="O179" i="65"/>
  <c r="AE177" i="65"/>
  <c r="R177" i="65"/>
  <c r="S177" i="65" s="1"/>
  <c r="AF177" i="65"/>
  <c r="Q177" i="65"/>
  <c r="AH177" i="65"/>
  <c r="AV177" i="65"/>
  <c r="AO178" i="63" a="1"/>
  <c r="AO178" i="63" s="1"/>
  <c r="B180" i="65" s="1"/>
  <c r="N179" i="65" l="1"/>
  <c r="U179" i="65" s="1"/>
  <c r="P179" i="65"/>
  <c r="AG176" i="65"/>
  <c r="Y177" i="65"/>
  <c r="AB177" i="65" s="1"/>
  <c r="AC177" i="65" s="1"/>
  <c r="AD177" i="65" s="1"/>
  <c r="AM179" i="65"/>
  <c r="D179" i="65"/>
  <c r="E179" i="65" s="1"/>
  <c r="F179" i="65" s="1"/>
  <c r="G179" i="65" s="1"/>
  <c r="H179" i="65" s="1"/>
  <c r="I179" i="65" s="1"/>
  <c r="J179" i="65" s="1"/>
  <c r="K179" i="65" s="1"/>
  <c r="O180" i="65"/>
  <c r="L180" i="65"/>
  <c r="M180" i="65" s="1"/>
  <c r="C180" i="65"/>
  <c r="R178" i="65"/>
  <c r="S178" i="65" s="1"/>
  <c r="Y178" i="65" s="1"/>
  <c r="AV178" i="65"/>
  <c r="AF178" i="65"/>
  <c r="AE178" i="65"/>
  <c r="Q178" i="65"/>
  <c r="AH178" i="65"/>
  <c r="AO179" i="63" a="1"/>
  <c r="AO179" i="63" s="1"/>
  <c r="B181" i="65" s="1"/>
  <c r="N180" i="65" l="1"/>
  <c r="U180" i="65" s="1"/>
  <c r="P180" i="65"/>
  <c r="AB178" i="65"/>
  <c r="AC178" i="65" s="1"/>
  <c r="AD178" i="65" s="1"/>
  <c r="AG177" i="65"/>
  <c r="AO180" i="63" a="1"/>
  <c r="AO180" i="63" s="1"/>
  <c r="B182" i="65" s="1"/>
  <c r="AG178" i="65"/>
  <c r="D180" i="65"/>
  <c r="E180" i="65" s="1"/>
  <c r="F180" i="65" s="1"/>
  <c r="G180" i="65" s="1"/>
  <c r="H180" i="65" s="1"/>
  <c r="I180" i="65" s="1"/>
  <c r="J180" i="65" s="1"/>
  <c r="K180" i="65" s="1"/>
  <c r="AM180" i="65"/>
  <c r="AV179" i="65"/>
  <c r="R179" i="65"/>
  <c r="S179" i="65" s="1"/>
  <c r="AH179" i="65"/>
  <c r="AE179" i="65"/>
  <c r="Q179" i="65"/>
  <c r="AF179" i="65"/>
  <c r="L181" i="65"/>
  <c r="M181" i="65" s="1"/>
  <c r="O181" i="65"/>
  <c r="C181" i="65"/>
  <c r="N181" i="65" l="1"/>
  <c r="U181" i="65" s="1"/>
  <c r="P181" i="65"/>
  <c r="Y179" i="65"/>
  <c r="AB179" i="65" s="1"/>
  <c r="AC179" i="65" s="1"/>
  <c r="AD179" i="65" s="1"/>
  <c r="D181" i="65"/>
  <c r="E181" i="65" s="1"/>
  <c r="F181" i="65" s="1"/>
  <c r="G181" i="65" s="1"/>
  <c r="H181" i="65" s="1"/>
  <c r="I181" i="65" s="1"/>
  <c r="J181" i="65" s="1"/>
  <c r="K181" i="65" s="1"/>
  <c r="AM181" i="65"/>
  <c r="AO181" i="63" a="1"/>
  <c r="AO181" i="63" s="1"/>
  <c r="B183" i="65" s="1"/>
  <c r="Q180" i="65"/>
  <c r="AH180" i="65"/>
  <c r="R180" i="65"/>
  <c r="S180" i="65" s="1"/>
  <c r="Y180" i="65" s="1"/>
  <c r="AF180" i="65"/>
  <c r="AE180" i="65"/>
  <c r="AV180" i="65"/>
  <c r="O182" i="65"/>
  <c r="L182" i="65"/>
  <c r="M182" i="65" s="1"/>
  <c r="C182" i="65"/>
  <c r="N182" i="65" l="1"/>
  <c r="U182" i="65" s="1"/>
  <c r="P182" i="65"/>
  <c r="AB180" i="65"/>
  <c r="AC180" i="65" s="1"/>
  <c r="AD180" i="65" s="1"/>
  <c r="AG179" i="65"/>
  <c r="D182" i="65"/>
  <c r="E182" i="65" s="1"/>
  <c r="F182" i="65" s="1"/>
  <c r="G182" i="65" s="1"/>
  <c r="H182" i="65" s="1"/>
  <c r="I182" i="65" s="1"/>
  <c r="J182" i="65" s="1"/>
  <c r="K182" i="65" s="1"/>
  <c r="AM182" i="65"/>
  <c r="AG180" i="65"/>
  <c r="AH181" i="65"/>
  <c r="Q181" i="65"/>
  <c r="AE181" i="65"/>
  <c r="R181" i="65"/>
  <c r="S181" i="65" s="1"/>
  <c r="AV181" i="65"/>
  <c r="AF181" i="65"/>
  <c r="O183" i="65"/>
  <c r="C183" i="65"/>
  <c r="L183" i="65"/>
  <c r="M183" i="65" s="1"/>
  <c r="AO182" i="63" a="1"/>
  <c r="AO182" i="63" s="1"/>
  <c r="B184" i="65" s="1"/>
  <c r="N183" i="65" l="1"/>
  <c r="U183" i="65" s="1"/>
  <c r="P183" i="65"/>
  <c r="Y181" i="65"/>
  <c r="AB181" i="65" s="1"/>
  <c r="AC181" i="65" s="1"/>
  <c r="AD181" i="65" s="1"/>
  <c r="C184" i="65"/>
  <c r="L184" i="65"/>
  <c r="M184" i="65" s="1"/>
  <c r="O184" i="65"/>
  <c r="AM183" i="65"/>
  <c r="D183" i="65"/>
  <c r="E183" i="65" s="1"/>
  <c r="F183" i="65" s="1"/>
  <c r="G183" i="65" s="1"/>
  <c r="H183" i="65" s="1"/>
  <c r="I183" i="65" s="1"/>
  <c r="J183" i="65" s="1"/>
  <c r="K183" i="65" s="1"/>
  <c r="AO183" i="63" a="1"/>
  <c r="AO183" i="63" s="1"/>
  <c r="B185" i="65" s="1"/>
  <c r="R182" i="65"/>
  <c r="S182" i="65" s="1"/>
  <c r="Y182" i="65" s="1"/>
  <c r="AF182" i="65"/>
  <c r="AH182" i="65"/>
  <c r="AV182" i="65"/>
  <c r="Q182" i="65"/>
  <c r="AE182" i="65"/>
  <c r="N184" i="65" l="1"/>
  <c r="P184" i="65"/>
  <c r="AB182" i="65"/>
  <c r="AC182" i="65" s="1"/>
  <c r="AD182" i="65" s="1"/>
  <c r="AG181" i="65"/>
  <c r="O185" i="65"/>
  <c r="C185" i="65"/>
  <c r="L185" i="65"/>
  <c r="M185" i="65" s="1"/>
  <c r="AG182" i="65"/>
  <c r="Q183" i="65"/>
  <c r="AV183" i="65"/>
  <c r="AF183" i="65"/>
  <c r="AH183" i="65"/>
  <c r="R183" i="65"/>
  <c r="S183" i="65" s="1"/>
  <c r="AE183" i="65"/>
  <c r="AO184" i="63" a="1"/>
  <c r="AO184" i="63" s="1"/>
  <c r="B186" i="65" s="1"/>
  <c r="D184" i="65"/>
  <c r="E184" i="65" s="1"/>
  <c r="F184" i="65" s="1"/>
  <c r="G184" i="65" s="1"/>
  <c r="H184" i="65" s="1"/>
  <c r="I184" i="65" s="1"/>
  <c r="J184" i="65" s="1"/>
  <c r="K184" i="65" s="1"/>
  <c r="U184" i="65"/>
  <c r="AM184" i="65"/>
  <c r="N185" i="65" l="1"/>
  <c r="U185" i="65" s="1"/>
  <c r="P185" i="65"/>
  <c r="Y183" i="65"/>
  <c r="AG183" i="65" s="1"/>
  <c r="Q184" i="65"/>
  <c r="AE184" i="65"/>
  <c r="AH184" i="65"/>
  <c r="R184" i="65"/>
  <c r="S184" i="65" s="1"/>
  <c r="AF184" i="65"/>
  <c r="AV184" i="65"/>
  <c r="AO185" i="63" a="1"/>
  <c r="AO185" i="63" s="1"/>
  <c r="B187" i="65" s="1"/>
  <c r="AM185" i="65"/>
  <c r="D185" i="65"/>
  <c r="E185" i="65" s="1"/>
  <c r="F185" i="65" s="1"/>
  <c r="G185" i="65" s="1"/>
  <c r="H185" i="65" s="1"/>
  <c r="I185" i="65" s="1"/>
  <c r="J185" i="65" s="1"/>
  <c r="K185" i="65" s="1"/>
  <c r="O186" i="65"/>
  <c r="C186" i="65"/>
  <c r="L186" i="65"/>
  <c r="M186" i="65" s="1"/>
  <c r="N186" i="65" l="1"/>
  <c r="U186" i="65" s="1"/>
  <c r="P186" i="65"/>
  <c r="AB183" i="65"/>
  <c r="AC183" i="65" s="1"/>
  <c r="AD183" i="65" s="1"/>
  <c r="Y184" i="65"/>
  <c r="AG184" i="65" s="1"/>
  <c r="L187" i="65"/>
  <c r="M187" i="65" s="1"/>
  <c r="O187" i="65"/>
  <c r="C187" i="65"/>
  <c r="AM186" i="65"/>
  <c r="D186" i="65"/>
  <c r="E186" i="65" s="1"/>
  <c r="F186" i="65" s="1"/>
  <c r="G186" i="65" s="1"/>
  <c r="H186" i="65" s="1"/>
  <c r="I186" i="65" s="1"/>
  <c r="J186" i="65" s="1"/>
  <c r="K186" i="65" s="1"/>
  <c r="AE185" i="65"/>
  <c r="AV185" i="65"/>
  <c r="AF185" i="65"/>
  <c r="R185" i="65"/>
  <c r="S185" i="65" s="1"/>
  <c r="Q185" i="65"/>
  <c r="AH185" i="65"/>
  <c r="AO186" i="63" a="1"/>
  <c r="AO186" i="63" s="1"/>
  <c r="B188" i="65" s="1"/>
  <c r="N187" i="65" l="1"/>
  <c r="U187" i="65" s="1"/>
  <c r="P187" i="65"/>
  <c r="AB184" i="65"/>
  <c r="AC184" i="65" s="1"/>
  <c r="AD184" i="65" s="1"/>
  <c r="Y185" i="65"/>
  <c r="AG185" i="65" s="1"/>
  <c r="AO187" i="63" a="1"/>
  <c r="AO187" i="63" s="1"/>
  <c r="B189" i="65" s="1"/>
  <c r="AF186" i="65"/>
  <c r="Q186" i="65"/>
  <c r="R186" i="65"/>
  <c r="S186" i="65" s="1"/>
  <c r="AV186" i="65"/>
  <c r="AH186" i="65"/>
  <c r="AE186" i="65"/>
  <c r="AM187" i="65"/>
  <c r="D187" i="65"/>
  <c r="E187" i="65" s="1"/>
  <c r="F187" i="65" s="1"/>
  <c r="G187" i="65" s="1"/>
  <c r="H187" i="65" s="1"/>
  <c r="I187" i="65" s="1"/>
  <c r="J187" i="65" s="1"/>
  <c r="K187" i="65" s="1"/>
  <c r="C188" i="65"/>
  <c r="L188" i="65"/>
  <c r="M188" i="65" s="1"/>
  <c r="O188" i="65"/>
  <c r="N188" i="65" l="1"/>
  <c r="U188" i="65" s="1"/>
  <c r="P188" i="65"/>
  <c r="AB185" i="65"/>
  <c r="AC185" i="65" s="1"/>
  <c r="AD185" i="65" s="1"/>
  <c r="Y186" i="65"/>
  <c r="AB186" i="65" s="1"/>
  <c r="AC186" i="65" s="1"/>
  <c r="AD186" i="65" s="1"/>
  <c r="AO188" i="63" a="1"/>
  <c r="AO188" i="63" s="1"/>
  <c r="B190" i="65" s="1"/>
  <c r="AM188" i="65"/>
  <c r="D188" i="65"/>
  <c r="E188" i="65" s="1"/>
  <c r="F188" i="65" s="1"/>
  <c r="G188" i="65" s="1"/>
  <c r="H188" i="65" s="1"/>
  <c r="I188" i="65" s="1"/>
  <c r="J188" i="65" s="1"/>
  <c r="K188" i="65" s="1"/>
  <c r="R187" i="65"/>
  <c r="S187" i="65" s="1"/>
  <c r="AH187" i="65"/>
  <c r="Q187" i="65"/>
  <c r="AF187" i="65"/>
  <c r="AE187" i="65"/>
  <c r="AV187" i="65"/>
  <c r="O189" i="65"/>
  <c r="C189" i="65"/>
  <c r="L189" i="65"/>
  <c r="M189" i="65" s="1"/>
  <c r="N189" i="65" l="1"/>
  <c r="U189" i="65" s="1"/>
  <c r="P189" i="65"/>
  <c r="AG186" i="65"/>
  <c r="Y187" i="65"/>
  <c r="AB187" i="65" s="1"/>
  <c r="AC187" i="65" s="1"/>
  <c r="AD187" i="65" s="1"/>
  <c r="AM189" i="65"/>
  <c r="D189" i="65"/>
  <c r="E189" i="65" s="1"/>
  <c r="F189" i="65" s="1"/>
  <c r="G189" i="65" s="1"/>
  <c r="H189" i="65" s="1"/>
  <c r="I189" i="65" s="1"/>
  <c r="J189" i="65" s="1"/>
  <c r="K189" i="65" s="1"/>
  <c r="AO189" i="63" a="1"/>
  <c r="AO189" i="63" s="1"/>
  <c r="B191" i="65" s="1"/>
  <c r="AF188" i="65"/>
  <c r="Q188" i="65"/>
  <c r="R188" i="65"/>
  <c r="S188" i="65" s="1"/>
  <c r="Y188" i="65" s="1"/>
  <c r="AE188" i="65"/>
  <c r="AV188" i="65"/>
  <c r="AH188" i="65"/>
  <c r="C190" i="65"/>
  <c r="O190" i="65"/>
  <c r="L190" i="65"/>
  <c r="M190" i="65" s="1"/>
  <c r="N190" i="65" l="1"/>
  <c r="U190" i="65" s="1"/>
  <c r="P190" i="65"/>
  <c r="AG187" i="65"/>
  <c r="AB188" i="65"/>
  <c r="AC188" i="65" s="1"/>
  <c r="AD188" i="65" s="1"/>
  <c r="AG188" i="65"/>
  <c r="AO190" i="63" a="1"/>
  <c r="AO190" i="63" s="1"/>
  <c r="B192" i="65" s="1"/>
  <c r="L191" i="65"/>
  <c r="M191" i="65" s="1"/>
  <c r="O191" i="65"/>
  <c r="C191" i="65"/>
  <c r="D190" i="65"/>
  <c r="E190" i="65" s="1"/>
  <c r="F190" i="65" s="1"/>
  <c r="G190" i="65" s="1"/>
  <c r="H190" i="65" s="1"/>
  <c r="I190" i="65" s="1"/>
  <c r="J190" i="65" s="1"/>
  <c r="K190" i="65" s="1"/>
  <c r="AM190" i="65"/>
  <c r="AE189" i="65"/>
  <c r="R189" i="65"/>
  <c r="S189" i="65" s="1"/>
  <c r="AF189" i="65"/>
  <c r="AH189" i="65"/>
  <c r="AV189" i="65"/>
  <c r="Q189" i="65"/>
  <c r="N191" i="65" l="1"/>
  <c r="U191" i="65" s="1"/>
  <c r="P191" i="65"/>
  <c r="Y189" i="65"/>
  <c r="AG189" i="65" s="1"/>
  <c r="AF190" i="65"/>
  <c r="AE190" i="65"/>
  <c r="R190" i="65"/>
  <c r="S190" i="65" s="1"/>
  <c r="Q190" i="65"/>
  <c r="AV190" i="65"/>
  <c r="AH190" i="65"/>
  <c r="O192" i="65"/>
  <c r="L192" i="65"/>
  <c r="M192" i="65" s="1"/>
  <c r="C192" i="65"/>
  <c r="AO191" i="63" a="1"/>
  <c r="AO191" i="63" s="1"/>
  <c r="B193" i="65" s="1"/>
  <c r="AM191" i="65"/>
  <c r="D191" i="65"/>
  <c r="E191" i="65" s="1"/>
  <c r="F191" i="65" s="1"/>
  <c r="G191" i="65" s="1"/>
  <c r="H191" i="65" s="1"/>
  <c r="I191" i="65" s="1"/>
  <c r="J191" i="65" s="1"/>
  <c r="K191" i="65" s="1"/>
  <c r="N192" i="65" l="1"/>
  <c r="U192" i="65" s="1"/>
  <c r="P192" i="65"/>
  <c r="AB189" i="65"/>
  <c r="AC189" i="65" s="1"/>
  <c r="AD189" i="65" s="1"/>
  <c r="Y190" i="65"/>
  <c r="AB190" i="65" s="1"/>
  <c r="AC190" i="65" s="1"/>
  <c r="AD190" i="65" s="1"/>
  <c r="O193" i="65"/>
  <c r="C193" i="65"/>
  <c r="L193" i="65"/>
  <c r="M193" i="65" s="1"/>
  <c r="AM192" i="65"/>
  <c r="D192" i="65"/>
  <c r="E192" i="65" s="1"/>
  <c r="F192" i="65" s="1"/>
  <c r="G192" i="65" s="1"/>
  <c r="H192" i="65" s="1"/>
  <c r="I192" i="65" s="1"/>
  <c r="J192" i="65" s="1"/>
  <c r="K192" i="65" s="1"/>
  <c r="AO192" i="63" a="1"/>
  <c r="AO192" i="63" s="1"/>
  <c r="B194" i="65" s="1"/>
  <c r="Q191" i="65"/>
  <c r="AV191" i="65"/>
  <c r="AE191" i="65"/>
  <c r="AF191" i="65"/>
  <c r="R191" i="65"/>
  <c r="S191" i="65" s="1"/>
  <c r="AH191" i="65"/>
  <c r="N193" i="65" l="1"/>
  <c r="U193" i="65" s="1"/>
  <c r="P193" i="65"/>
  <c r="AG190" i="65"/>
  <c r="Y191" i="65"/>
  <c r="AB191" i="65" s="1"/>
  <c r="AC191" i="65" s="1"/>
  <c r="AD191" i="65" s="1"/>
  <c r="C194" i="65"/>
  <c r="O194" i="65"/>
  <c r="L194" i="65"/>
  <c r="M194" i="65" s="1"/>
  <c r="AV192" i="65"/>
  <c r="AF192" i="65"/>
  <c r="AE192" i="65"/>
  <c r="R192" i="65"/>
  <c r="S192" i="65" s="1"/>
  <c r="AH192" i="65"/>
  <c r="Q192" i="65"/>
  <c r="AM193" i="65"/>
  <c r="D193" i="65"/>
  <c r="E193" i="65" s="1"/>
  <c r="F193" i="65" s="1"/>
  <c r="G193" i="65" s="1"/>
  <c r="H193" i="65" s="1"/>
  <c r="I193" i="65" s="1"/>
  <c r="J193" i="65" s="1"/>
  <c r="K193" i="65" s="1"/>
  <c r="AO193" i="63" a="1"/>
  <c r="AO193" i="63" s="1"/>
  <c r="B195" i="65" s="1"/>
  <c r="N194" i="65" l="1"/>
  <c r="U194" i="65" s="1"/>
  <c r="P194" i="65"/>
  <c r="AG191" i="65"/>
  <c r="Y192" i="65"/>
  <c r="AB192" i="65" s="1"/>
  <c r="AC192" i="65" s="1"/>
  <c r="AD192" i="65" s="1"/>
  <c r="L195" i="65"/>
  <c r="M195" i="65" s="1"/>
  <c r="O195" i="65"/>
  <c r="C195" i="65"/>
  <c r="R193" i="65"/>
  <c r="S193" i="65" s="1"/>
  <c r="AH193" i="65"/>
  <c r="AE193" i="65"/>
  <c r="AV193" i="65"/>
  <c r="Q193" i="65"/>
  <c r="AF193" i="65"/>
  <c r="AO194" i="63" a="1"/>
  <c r="AO194" i="63" s="1"/>
  <c r="B196" i="65" s="1"/>
  <c r="D194" i="65"/>
  <c r="E194" i="65" s="1"/>
  <c r="F194" i="65" s="1"/>
  <c r="G194" i="65" s="1"/>
  <c r="H194" i="65" s="1"/>
  <c r="I194" i="65" s="1"/>
  <c r="J194" i="65" s="1"/>
  <c r="K194" i="65" s="1"/>
  <c r="AM194" i="65"/>
  <c r="N195" i="65" l="1"/>
  <c r="U195" i="65" s="1"/>
  <c r="P195" i="65"/>
  <c r="AG192" i="65"/>
  <c r="Y193" i="65"/>
  <c r="AB193" i="65" s="1"/>
  <c r="AC193" i="65" s="1"/>
  <c r="AD193" i="65" s="1"/>
  <c r="C196" i="65"/>
  <c r="L196" i="65"/>
  <c r="M196" i="65" s="1"/>
  <c r="O196" i="65"/>
  <c r="AM195" i="65"/>
  <c r="D195" i="65"/>
  <c r="E195" i="65" s="1"/>
  <c r="F195" i="65" s="1"/>
  <c r="G195" i="65" s="1"/>
  <c r="H195" i="65" s="1"/>
  <c r="I195" i="65" s="1"/>
  <c r="J195" i="65" s="1"/>
  <c r="K195" i="65" s="1"/>
  <c r="AV194" i="65"/>
  <c r="AF194" i="65"/>
  <c r="R194" i="65"/>
  <c r="S194" i="65" s="1"/>
  <c r="Q194" i="65"/>
  <c r="AH194" i="65"/>
  <c r="AE194" i="65"/>
  <c r="AO195" i="63" a="1"/>
  <c r="AO195" i="63" s="1"/>
  <c r="B197" i="65" s="1"/>
  <c r="N196" i="65" l="1"/>
  <c r="U196" i="65" s="1"/>
  <c r="P196" i="65"/>
  <c r="AG193" i="65"/>
  <c r="Y194" i="65"/>
  <c r="AB194" i="65" s="1"/>
  <c r="AC194" i="65" s="1"/>
  <c r="AD194" i="65" s="1"/>
  <c r="R195" i="65"/>
  <c r="S195" i="65" s="1"/>
  <c r="AH195" i="65"/>
  <c r="Q195" i="65"/>
  <c r="AF195" i="65"/>
  <c r="AV195" i="65"/>
  <c r="AE195" i="65"/>
  <c r="AO196" i="63" a="1"/>
  <c r="AO196" i="63" s="1"/>
  <c r="B198" i="65" s="1"/>
  <c r="O197" i="65"/>
  <c r="L197" i="65"/>
  <c r="M197" i="65" s="1"/>
  <c r="C197" i="65"/>
  <c r="AM196" i="65"/>
  <c r="D196" i="65"/>
  <c r="E196" i="65" s="1"/>
  <c r="F196" i="65" s="1"/>
  <c r="G196" i="65" s="1"/>
  <c r="H196" i="65" s="1"/>
  <c r="I196" i="65" s="1"/>
  <c r="J196" i="65" s="1"/>
  <c r="K196" i="65" s="1"/>
  <c r="N197" i="65" l="1"/>
  <c r="U197" i="65" s="1"/>
  <c r="P197" i="65"/>
  <c r="Y195" i="65"/>
  <c r="AB195" i="65" s="1"/>
  <c r="AC195" i="65" s="1"/>
  <c r="AD195" i="65" s="1"/>
  <c r="AG194" i="65"/>
  <c r="AE196" i="65"/>
  <c r="AV196" i="65"/>
  <c r="Q196" i="65"/>
  <c r="AH196" i="65"/>
  <c r="AF196" i="65"/>
  <c r="R196" i="65"/>
  <c r="S196" i="65" s="1"/>
  <c r="D197" i="65"/>
  <c r="E197" i="65" s="1"/>
  <c r="F197" i="65" s="1"/>
  <c r="G197" i="65" s="1"/>
  <c r="H197" i="65" s="1"/>
  <c r="I197" i="65" s="1"/>
  <c r="J197" i="65" s="1"/>
  <c r="K197" i="65" s="1"/>
  <c r="AM197" i="65"/>
  <c r="C198" i="65"/>
  <c r="O198" i="65"/>
  <c r="L198" i="65"/>
  <c r="M198" i="65" s="1"/>
  <c r="AO197" i="63" a="1"/>
  <c r="AO197" i="63" s="1"/>
  <c r="B199" i="65" s="1"/>
  <c r="N198" i="65" l="1"/>
  <c r="U198" i="65" s="1"/>
  <c r="P198" i="65"/>
  <c r="AG195" i="65"/>
  <c r="Y196" i="65"/>
  <c r="AB196" i="65" s="1"/>
  <c r="AC196" i="65" s="1"/>
  <c r="AD196" i="65" s="1"/>
  <c r="AO198" i="63" a="1"/>
  <c r="AO198" i="63" s="1"/>
  <c r="B200" i="65" s="1"/>
  <c r="R197" i="65"/>
  <c r="S197" i="65" s="1"/>
  <c r="Y197" i="65" s="1"/>
  <c r="AF197" i="65"/>
  <c r="AH197" i="65"/>
  <c r="Q197" i="65"/>
  <c r="AV197" i="65"/>
  <c r="AE197" i="65"/>
  <c r="L199" i="65"/>
  <c r="M199" i="65" s="1"/>
  <c r="C199" i="65"/>
  <c r="O199" i="65"/>
  <c r="AM198" i="65"/>
  <c r="D198" i="65"/>
  <c r="E198" i="65" s="1"/>
  <c r="F198" i="65" s="1"/>
  <c r="G198" i="65" s="1"/>
  <c r="H198" i="65" s="1"/>
  <c r="I198" i="65" s="1"/>
  <c r="J198" i="65" s="1"/>
  <c r="K198" i="65" s="1"/>
  <c r="N199" i="65" l="1"/>
  <c r="U199" i="65" s="1"/>
  <c r="P199" i="65"/>
  <c r="AG196" i="65"/>
  <c r="AB197" i="65"/>
  <c r="AC197" i="65" s="1"/>
  <c r="AD197" i="65" s="1"/>
  <c r="AH198" i="65"/>
  <c r="AF198" i="65"/>
  <c r="AV198" i="65"/>
  <c r="R198" i="65"/>
  <c r="S198" i="65" s="1"/>
  <c r="AE198" i="65"/>
  <c r="Q198" i="65"/>
  <c r="AM199" i="65"/>
  <c r="D199" i="65"/>
  <c r="E199" i="65" s="1"/>
  <c r="F199" i="65" s="1"/>
  <c r="G199" i="65" s="1"/>
  <c r="H199" i="65" s="1"/>
  <c r="I199" i="65" s="1"/>
  <c r="J199" i="65" s="1"/>
  <c r="K199" i="65" s="1"/>
  <c r="AG197" i="65"/>
  <c r="AO199" i="63" a="1"/>
  <c r="AO199" i="63" s="1"/>
  <c r="B201" i="65" s="1"/>
  <c r="L200" i="65"/>
  <c r="M200" i="65" s="1"/>
  <c r="C200" i="65"/>
  <c r="O200" i="65"/>
  <c r="N200" i="65" l="1"/>
  <c r="U200" i="65" s="1"/>
  <c r="P200" i="65"/>
  <c r="Y198" i="65"/>
  <c r="AB198" i="65" s="1"/>
  <c r="AC198" i="65" s="1"/>
  <c r="AD198" i="65" s="1"/>
  <c r="AE199" i="65"/>
  <c r="AV199" i="65"/>
  <c r="R199" i="65"/>
  <c r="S199" i="65" s="1"/>
  <c r="AF199" i="65"/>
  <c r="Q199" i="65"/>
  <c r="AH199" i="65"/>
  <c r="AO200" i="63" a="1"/>
  <c r="AO200" i="63" s="1"/>
  <c r="B202" i="65" s="1"/>
  <c r="C201" i="65"/>
  <c r="O201" i="65"/>
  <c r="L201" i="65"/>
  <c r="M201" i="65" s="1"/>
  <c r="D200" i="65"/>
  <c r="E200" i="65" s="1"/>
  <c r="F200" i="65" s="1"/>
  <c r="G200" i="65" s="1"/>
  <c r="H200" i="65" s="1"/>
  <c r="I200" i="65" s="1"/>
  <c r="J200" i="65" s="1"/>
  <c r="K200" i="65" s="1"/>
  <c r="AM200" i="65"/>
  <c r="N201" i="65" l="1"/>
  <c r="U201" i="65" s="1"/>
  <c r="P201" i="65"/>
  <c r="AG198" i="65"/>
  <c r="Y199" i="65"/>
  <c r="AB199" i="65" s="1"/>
  <c r="AC199" i="65" s="1"/>
  <c r="AD199" i="65" s="1"/>
  <c r="C202" i="65"/>
  <c r="O202" i="65"/>
  <c r="L202" i="65"/>
  <c r="M202" i="65" s="1"/>
  <c r="AM201" i="65"/>
  <c r="D201" i="65"/>
  <c r="E201" i="65" s="1"/>
  <c r="F201" i="65" s="1"/>
  <c r="G201" i="65" s="1"/>
  <c r="H201" i="65" s="1"/>
  <c r="I201" i="65" s="1"/>
  <c r="J201" i="65" s="1"/>
  <c r="K201" i="65" s="1"/>
  <c r="AO201" i="63" a="1"/>
  <c r="AO201" i="63" s="1"/>
  <c r="B203" i="65" s="1"/>
  <c r="Q200" i="65"/>
  <c r="AF200" i="65"/>
  <c r="AV200" i="65"/>
  <c r="R200" i="65"/>
  <c r="S200" i="65" s="1"/>
  <c r="Y200" i="65" s="1"/>
  <c r="AH200" i="65"/>
  <c r="AE200" i="65"/>
  <c r="N202" i="65" l="1"/>
  <c r="P202" i="65"/>
  <c r="AB200" i="65"/>
  <c r="AC200" i="65" s="1"/>
  <c r="AD200" i="65" s="1"/>
  <c r="AG199" i="65"/>
  <c r="AO202" i="63" a="1"/>
  <c r="AO202" i="63" s="1"/>
  <c r="B204" i="65" s="1"/>
  <c r="AG200" i="65"/>
  <c r="O203" i="65"/>
  <c r="L203" i="65"/>
  <c r="M203" i="65" s="1"/>
  <c r="C203" i="65"/>
  <c r="R201" i="65"/>
  <c r="S201" i="65" s="1"/>
  <c r="Y201" i="65" s="1"/>
  <c r="AV201" i="65"/>
  <c r="Q201" i="65"/>
  <c r="AF201" i="65"/>
  <c r="AH201" i="65"/>
  <c r="AE201" i="65"/>
  <c r="AM202" i="65"/>
  <c r="U202" i="65"/>
  <c r="D202" i="65"/>
  <c r="E202" i="65" s="1"/>
  <c r="F202" i="65" s="1"/>
  <c r="G202" i="65" s="1"/>
  <c r="H202" i="65" s="1"/>
  <c r="I202" i="65" s="1"/>
  <c r="J202" i="65" s="1"/>
  <c r="K202" i="65" s="1"/>
  <c r="N203" i="65" l="1"/>
  <c r="U203" i="65" s="1"/>
  <c r="P203" i="65"/>
  <c r="AB201" i="65"/>
  <c r="AC201" i="65" s="1"/>
  <c r="AD201" i="65" s="1"/>
  <c r="AH202" i="65"/>
  <c r="R202" i="65"/>
  <c r="S202" i="65" s="1"/>
  <c r="AE202" i="65"/>
  <c r="AV202" i="65"/>
  <c r="Q202" i="65"/>
  <c r="AF202" i="65"/>
  <c r="AG201" i="65"/>
  <c r="AM203" i="65"/>
  <c r="D203" i="65"/>
  <c r="E203" i="65" s="1"/>
  <c r="F203" i="65" s="1"/>
  <c r="G203" i="65" s="1"/>
  <c r="H203" i="65" s="1"/>
  <c r="I203" i="65" s="1"/>
  <c r="J203" i="65" s="1"/>
  <c r="K203" i="65" s="1"/>
  <c r="O204" i="65"/>
  <c r="L204" i="65"/>
  <c r="M204" i="65" s="1"/>
  <c r="C204" i="65"/>
  <c r="AO203" i="63" a="1"/>
  <c r="AO203" i="63" s="1"/>
  <c r="B205" i="65" s="1"/>
  <c r="N204" i="65" l="1"/>
  <c r="U204" i="65" s="1"/>
  <c r="P204" i="65"/>
  <c r="Y202" i="65"/>
  <c r="AB202" i="65" s="1"/>
  <c r="AC202" i="65" s="1"/>
  <c r="AD202" i="65" s="1"/>
  <c r="R203" i="65"/>
  <c r="S203" i="65" s="1"/>
  <c r="AE203" i="65"/>
  <c r="AV203" i="65"/>
  <c r="Q203" i="65"/>
  <c r="AH203" i="65"/>
  <c r="AF203" i="65"/>
  <c r="C205" i="65"/>
  <c r="L205" i="65"/>
  <c r="M205" i="65" s="1"/>
  <c r="O205" i="65"/>
  <c r="D204" i="65"/>
  <c r="E204" i="65" s="1"/>
  <c r="F204" i="65" s="1"/>
  <c r="G204" i="65" s="1"/>
  <c r="H204" i="65" s="1"/>
  <c r="I204" i="65" s="1"/>
  <c r="J204" i="65" s="1"/>
  <c r="K204" i="65" s="1"/>
  <c r="AM204" i="65"/>
  <c r="AO204" i="63" a="1"/>
  <c r="AO204" i="63" s="1"/>
  <c r="B206" i="65" s="1"/>
  <c r="N205" i="65" l="1"/>
  <c r="U205" i="65" s="1"/>
  <c r="P205" i="65"/>
  <c r="AG202" i="65"/>
  <c r="Y203" i="65"/>
  <c r="AG203" i="65" s="1"/>
  <c r="AO205" i="63" a="1"/>
  <c r="AO205" i="63" s="1"/>
  <c r="B207" i="65" s="1"/>
  <c r="D205" i="65"/>
  <c r="E205" i="65" s="1"/>
  <c r="F205" i="65" s="1"/>
  <c r="G205" i="65" s="1"/>
  <c r="H205" i="65" s="1"/>
  <c r="I205" i="65" s="1"/>
  <c r="J205" i="65" s="1"/>
  <c r="K205" i="65" s="1"/>
  <c r="AM205" i="65"/>
  <c r="AF204" i="65"/>
  <c r="R204" i="65"/>
  <c r="S204" i="65" s="1"/>
  <c r="AE204" i="65"/>
  <c r="AV204" i="65"/>
  <c r="AH204" i="65"/>
  <c r="Q204" i="65"/>
  <c r="L206" i="65"/>
  <c r="M206" i="65" s="1"/>
  <c r="O206" i="65"/>
  <c r="C206" i="65"/>
  <c r="N206" i="65" l="1"/>
  <c r="U206" i="65" s="1"/>
  <c r="P206" i="65"/>
  <c r="AB203" i="65"/>
  <c r="AC203" i="65" s="1"/>
  <c r="AD203" i="65" s="1"/>
  <c r="Y204" i="65"/>
  <c r="AB204" i="65" s="1"/>
  <c r="AC204" i="65" s="1"/>
  <c r="AD204" i="65" s="1"/>
  <c r="C207" i="65"/>
  <c r="O207" i="65"/>
  <c r="L207" i="65"/>
  <c r="M207" i="65" s="1"/>
  <c r="AO206" i="63" a="1"/>
  <c r="AO206" i="63" s="1"/>
  <c r="B208" i="65" s="1"/>
  <c r="Q205" i="65"/>
  <c r="AV205" i="65"/>
  <c r="AF205" i="65"/>
  <c r="AH205" i="65"/>
  <c r="AE205" i="65"/>
  <c r="R205" i="65"/>
  <c r="S205" i="65" s="1"/>
  <c r="D206" i="65"/>
  <c r="E206" i="65" s="1"/>
  <c r="F206" i="65" s="1"/>
  <c r="G206" i="65" s="1"/>
  <c r="H206" i="65" s="1"/>
  <c r="I206" i="65" s="1"/>
  <c r="J206" i="65" s="1"/>
  <c r="K206" i="65" s="1"/>
  <c r="AM206" i="65"/>
  <c r="N207" i="65" l="1"/>
  <c r="U207" i="65" s="1"/>
  <c r="P207" i="65"/>
  <c r="Y205" i="65"/>
  <c r="AB205" i="65" s="1"/>
  <c r="AC205" i="65" s="1"/>
  <c r="AD205" i="65" s="1"/>
  <c r="AG204" i="65"/>
  <c r="AO207" i="63" a="1"/>
  <c r="AO207" i="63" s="1"/>
  <c r="B209" i="65" s="1"/>
  <c r="AV206" i="65"/>
  <c r="AF206" i="65"/>
  <c r="Q206" i="65"/>
  <c r="R206" i="65"/>
  <c r="S206" i="65" s="1"/>
  <c r="AH206" i="65"/>
  <c r="AE206" i="65"/>
  <c r="AM207" i="65"/>
  <c r="D207" i="65"/>
  <c r="E207" i="65" s="1"/>
  <c r="F207" i="65" s="1"/>
  <c r="G207" i="65" s="1"/>
  <c r="H207" i="65" s="1"/>
  <c r="I207" i="65" s="1"/>
  <c r="J207" i="65" s="1"/>
  <c r="K207" i="65" s="1"/>
  <c r="L208" i="65"/>
  <c r="M208" i="65" s="1"/>
  <c r="O208" i="65"/>
  <c r="C208" i="65"/>
  <c r="N208" i="65" l="1"/>
  <c r="U208" i="65" s="1"/>
  <c r="P208" i="65"/>
  <c r="Y206" i="65"/>
  <c r="AB206" i="65" s="1"/>
  <c r="AC206" i="65" s="1"/>
  <c r="AD206" i="65" s="1"/>
  <c r="AG205" i="65"/>
  <c r="AM208" i="65"/>
  <c r="D208" i="65"/>
  <c r="E208" i="65" s="1"/>
  <c r="F208" i="65" s="1"/>
  <c r="G208" i="65" s="1"/>
  <c r="H208" i="65" s="1"/>
  <c r="I208" i="65" s="1"/>
  <c r="J208" i="65" s="1"/>
  <c r="K208" i="65" s="1"/>
  <c r="AO208" i="63" a="1"/>
  <c r="AO208" i="63" s="1"/>
  <c r="B210" i="65" s="1"/>
  <c r="R207" i="65"/>
  <c r="S207" i="65" s="1"/>
  <c r="AV207" i="65"/>
  <c r="AF207" i="65"/>
  <c r="AH207" i="65"/>
  <c r="Q207" i="65"/>
  <c r="AE207" i="65"/>
  <c r="O209" i="65"/>
  <c r="C209" i="65"/>
  <c r="L209" i="65"/>
  <c r="M209" i="65" s="1"/>
  <c r="N209" i="65" l="1"/>
  <c r="U209" i="65" s="1"/>
  <c r="P209" i="65"/>
  <c r="AG206" i="65"/>
  <c r="Y207" i="65"/>
  <c r="AB207" i="65" s="1"/>
  <c r="AC207" i="65" s="1"/>
  <c r="AD207" i="65" s="1"/>
  <c r="AM209" i="65"/>
  <c r="D209" i="65"/>
  <c r="E209" i="65" s="1"/>
  <c r="F209" i="65" s="1"/>
  <c r="G209" i="65" s="1"/>
  <c r="H209" i="65" s="1"/>
  <c r="I209" i="65" s="1"/>
  <c r="J209" i="65" s="1"/>
  <c r="K209" i="65" s="1"/>
  <c r="O210" i="65"/>
  <c r="C210" i="65"/>
  <c r="L210" i="65"/>
  <c r="M210" i="65" s="1"/>
  <c r="AO209" i="63" a="1"/>
  <c r="AO209" i="63" s="1"/>
  <c r="B211" i="65" s="1"/>
  <c r="AF208" i="65"/>
  <c r="R208" i="65"/>
  <c r="S208" i="65" s="1"/>
  <c r="Y208" i="65" s="1"/>
  <c r="AV208" i="65"/>
  <c r="AE208" i="65"/>
  <c r="AH208" i="65"/>
  <c r="Q208" i="65"/>
  <c r="N210" i="65" l="1"/>
  <c r="U210" i="65" s="1"/>
  <c r="P210" i="65"/>
  <c r="AG207" i="65"/>
  <c r="AB208" i="65"/>
  <c r="AC208" i="65" s="1"/>
  <c r="AD208" i="65" s="1"/>
  <c r="AO210" i="63" a="1"/>
  <c r="AO210" i="63" s="1"/>
  <c r="B212" i="65" s="1"/>
  <c r="AG208" i="65"/>
  <c r="D210" i="65"/>
  <c r="E210" i="65" s="1"/>
  <c r="F210" i="65" s="1"/>
  <c r="G210" i="65" s="1"/>
  <c r="H210" i="65" s="1"/>
  <c r="I210" i="65" s="1"/>
  <c r="J210" i="65" s="1"/>
  <c r="K210" i="65" s="1"/>
  <c r="AM210" i="65"/>
  <c r="O211" i="65"/>
  <c r="L211" i="65"/>
  <c r="M211" i="65" s="1"/>
  <c r="C211" i="65"/>
  <c r="AE209" i="65"/>
  <c r="AH209" i="65"/>
  <c r="Q209" i="65"/>
  <c r="AF209" i="65"/>
  <c r="AV209" i="65"/>
  <c r="R209" i="65"/>
  <c r="S209" i="65" s="1"/>
  <c r="N211" i="65" l="1"/>
  <c r="U211" i="65" s="1"/>
  <c r="P211" i="65"/>
  <c r="Y209" i="65"/>
  <c r="AG209" i="65" s="1"/>
  <c r="AE210" i="65"/>
  <c r="R210" i="65"/>
  <c r="S210" i="65" s="1"/>
  <c r="Q210" i="65"/>
  <c r="AF210" i="65"/>
  <c r="AV210" i="65"/>
  <c r="AH210" i="65"/>
  <c r="AM211" i="65"/>
  <c r="D211" i="65"/>
  <c r="E211" i="65" s="1"/>
  <c r="F211" i="65" s="1"/>
  <c r="G211" i="65" s="1"/>
  <c r="H211" i="65" s="1"/>
  <c r="I211" i="65" s="1"/>
  <c r="J211" i="65" s="1"/>
  <c r="K211" i="65" s="1"/>
  <c r="C212" i="65"/>
  <c r="O212" i="65"/>
  <c r="L212" i="65"/>
  <c r="M212" i="65" s="1"/>
  <c r="AO211" i="63" a="1"/>
  <c r="AO211" i="63" s="1"/>
  <c r="B213" i="65" s="1"/>
  <c r="N212" i="65" l="1"/>
  <c r="U212" i="65" s="1"/>
  <c r="P212" i="65"/>
  <c r="AB209" i="65"/>
  <c r="AC209" i="65" s="1"/>
  <c r="AD209" i="65" s="1"/>
  <c r="Y210" i="65"/>
  <c r="AB210" i="65" s="1"/>
  <c r="AC210" i="65" s="1"/>
  <c r="AD210" i="65" s="1"/>
  <c r="AO212" i="63" a="1"/>
  <c r="AO212" i="63" s="1"/>
  <c r="B214" i="65" s="1"/>
  <c r="C213" i="65"/>
  <c r="O213" i="65"/>
  <c r="L213" i="65"/>
  <c r="M213" i="65" s="1"/>
  <c r="AM212" i="65"/>
  <c r="D212" i="65"/>
  <c r="E212" i="65" s="1"/>
  <c r="F212" i="65" s="1"/>
  <c r="G212" i="65" s="1"/>
  <c r="H212" i="65" s="1"/>
  <c r="I212" i="65" s="1"/>
  <c r="J212" i="65" s="1"/>
  <c r="K212" i="65" s="1"/>
  <c r="AV211" i="65"/>
  <c r="AF211" i="65"/>
  <c r="AE211" i="65"/>
  <c r="Q211" i="65"/>
  <c r="R211" i="65"/>
  <c r="S211" i="65" s="1"/>
  <c r="Y211" i="65" s="1"/>
  <c r="AH211" i="65"/>
  <c r="N213" i="65" l="1"/>
  <c r="U213" i="65" s="1"/>
  <c r="P213" i="65"/>
  <c r="AB211" i="65"/>
  <c r="AC211" i="65" s="1"/>
  <c r="AD211" i="65" s="1"/>
  <c r="AG210" i="65"/>
  <c r="AG211" i="65"/>
  <c r="AO213" i="63" a="1"/>
  <c r="AO213" i="63" s="1"/>
  <c r="B215" i="65" s="1"/>
  <c r="R212" i="65"/>
  <c r="S212" i="65" s="1"/>
  <c r="AE212" i="65"/>
  <c r="Q212" i="65"/>
  <c r="AF212" i="65"/>
  <c r="AH212" i="65"/>
  <c r="AV212" i="65"/>
  <c r="D213" i="65"/>
  <c r="E213" i="65" s="1"/>
  <c r="F213" i="65" s="1"/>
  <c r="G213" i="65" s="1"/>
  <c r="H213" i="65" s="1"/>
  <c r="I213" i="65" s="1"/>
  <c r="J213" i="65" s="1"/>
  <c r="K213" i="65" s="1"/>
  <c r="AM213" i="65"/>
  <c r="O214" i="65"/>
  <c r="L214" i="65"/>
  <c r="M214" i="65" s="1"/>
  <c r="C214" i="65"/>
  <c r="N214" i="65" l="1"/>
  <c r="U214" i="65" s="1"/>
  <c r="P214" i="65"/>
  <c r="Y212" i="65"/>
  <c r="AB212" i="65" s="1"/>
  <c r="AC212" i="65" s="1"/>
  <c r="AD212" i="65" s="1"/>
  <c r="C215" i="65"/>
  <c r="O215" i="65"/>
  <c r="L215" i="65"/>
  <c r="M215" i="65" s="1"/>
  <c r="D214" i="65"/>
  <c r="E214" i="65" s="1"/>
  <c r="F214" i="65" s="1"/>
  <c r="G214" i="65" s="1"/>
  <c r="H214" i="65" s="1"/>
  <c r="I214" i="65" s="1"/>
  <c r="J214" i="65" s="1"/>
  <c r="K214" i="65" s="1"/>
  <c r="AM214" i="65"/>
  <c r="AF213" i="65"/>
  <c r="AE213" i="65"/>
  <c r="Q213" i="65"/>
  <c r="AH213" i="65"/>
  <c r="AV213" i="65"/>
  <c r="R213" i="65"/>
  <c r="S213" i="65" s="1"/>
  <c r="Y213" i="65" s="1"/>
  <c r="AO214" i="63" a="1"/>
  <c r="AO214" i="63" s="1"/>
  <c r="B216" i="65" s="1"/>
  <c r="N215" i="65" l="1"/>
  <c r="U215" i="65" s="1"/>
  <c r="P215" i="65"/>
  <c r="AB213" i="65"/>
  <c r="AC213" i="65" s="1"/>
  <c r="AD213" i="65" s="1"/>
  <c r="AG212" i="65"/>
  <c r="O216" i="65"/>
  <c r="L216" i="65"/>
  <c r="M216" i="65" s="1"/>
  <c r="C216" i="65"/>
  <c r="AV214" i="65"/>
  <c r="AF214" i="65"/>
  <c r="Q214" i="65"/>
  <c r="AH214" i="65"/>
  <c r="AE214" i="65"/>
  <c r="R214" i="65"/>
  <c r="S214" i="65" s="1"/>
  <c r="Y214" i="65" s="1"/>
  <c r="D215" i="65"/>
  <c r="E215" i="65" s="1"/>
  <c r="F215" i="65" s="1"/>
  <c r="G215" i="65" s="1"/>
  <c r="H215" i="65" s="1"/>
  <c r="I215" i="65" s="1"/>
  <c r="J215" i="65" s="1"/>
  <c r="K215" i="65" s="1"/>
  <c r="AM215" i="65"/>
  <c r="AO215" i="63" a="1"/>
  <c r="AO215" i="63" s="1"/>
  <c r="B217" i="65" s="1"/>
  <c r="AG213" i="65"/>
  <c r="N216" i="65" l="1"/>
  <c r="U216" i="65" s="1"/>
  <c r="P216" i="65"/>
  <c r="AB214" i="65"/>
  <c r="AC214" i="65" s="1"/>
  <c r="AD214" i="65" s="1"/>
  <c r="D216" i="65"/>
  <c r="E216" i="65" s="1"/>
  <c r="F216" i="65" s="1"/>
  <c r="G216" i="65" s="1"/>
  <c r="H216" i="65" s="1"/>
  <c r="I216" i="65" s="1"/>
  <c r="J216" i="65" s="1"/>
  <c r="K216" i="65" s="1"/>
  <c r="AM216" i="65"/>
  <c r="AO216" i="63" a="1"/>
  <c r="AO216" i="63" s="1"/>
  <c r="B218" i="65" s="1"/>
  <c r="O217" i="65"/>
  <c r="C217" i="65"/>
  <c r="L217" i="65"/>
  <c r="M217" i="65" s="1"/>
  <c r="AV215" i="65"/>
  <c r="R215" i="65"/>
  <c r="S215" i="65" s="1"/>
  <c r="AF215" i="65"/>
  <c r="AE215" i="65"/>
  <c r="Q215" i="65"/>
  <c r="AH215" i="65"/>
  <c r="AG214" i="65"/>
  <c r="N217" i="65" l="1"/>
  <c r="U217" i="65" s="1"/>
  <c r="P217" i="65"/>
  <c r="Y215" i="65"/>
  <c r="AB215" i="65" s="1"/>
  <c r="AC215" i="65" s="1"/>
  <c r="AD215" i="65" s="1"/>
  <c r="O218" i="65"/>
  <c r="C218" i="65"/>
  <c r="L218" i="65"/>
  <c r="M218" i="65" s="1"/>
  <c r="D217" i="65"/>
  <c r="E217" i="65" s="1"/>
  <c r="F217" i="65" s="1"/>
  <c r="G217" i="65" s="1"/>
  <c r="H217" i="65" s="1"/>
  <c r="I217" i="65" s="1"/>
  <c r="J217" i="65" s="1"/>
  <c r="K217" i="65" s="1"/>
  <c r="AM217" i="65"/>
  <c r="R216" i="65"/>
  <c r="S216" i="65" s="1"/>
  <c r="Y216" i="65" s="1"/>
  <c r="AH216" i="65"/>
  <c r="AF216" i="65"/>
  <c r="Q216" i="65"/>
  <c r="AE216" i="65"/>
  <c r="AV216" i="65"/>
  <c r="AO217" i="63" a="1"/>
  <c r="AO217" i="63" s="1"/>
  <c r="B219" i="65" s="1"/>
  <c r="N218" i="65" l="1"/>
  <c r="U218" i="65" s="1"/>
  <c r="P218" i="65"/>
  <c r="AG215" i="65"/>
  <c r="AB216" i="65"/>
  <c r="AC216" i="65" s="1"/>
  <c r="AD216" i="65" s="1"/>
  <c r="AO218" i="63" a="1"/>
  <c r="AO218" i="63" s="1"/>
  <c r="B220" i="65" s="1"/>
  <c r="AM218" i="65"/>
  <c r="D218" i="65"/>
  <c r="E218" i="65" s="1"/>
  <c r="F218" i="65" s="1"/>
  <c r="G218" i="65" s="1"/>
  <c r="H218" i="65" s="1"/>
  <c r="I218" i="65" s="1"/>
  <c r="J218" i="65" s="1"/>
  <c r="K218" i="65" s="1"/>
  <c r="O219" i="65"/>
  <c r="L219" i="65"/>
  <c r="M219" i="65" s="1"/>
  <c r="C219" i="65"/>
  <c r="AG216" i="65"/>
  <c r="AV217" i="65"/>
  <c r="Q217" i="65"/>
  <c r="AE217" i="65"/>
  <c r="AH217" i="65"/>
  <c r="R217" i="65"/>
  <c r="S217" i="65" s="1"/>
  <c r="AF217" i="65"/>
  <c r="N219" i="65" l="1"/>
  <c r="U219" i="65" s="1"/>
  <c r="P219" i="65"/>
  <c r="Y217" i="65"/>
  <c r="AB217" i="65" s="1"/>
  <c r="AC217" i="65" s="1"/>
  <c r="AD217" i="65" s="1"/>
  <c r="R218" i="65"/>
  <c r="S218" i="65" s="1"/>
  <c r="AV218" i="65"/>
  <c r="AE218" i="65"/>
  <c r="AH218" i="65"/>
  <c r="AF218" i="65"/>
  <c r="Q218" i="65"/>
  <c r="AM219" i="65"/>
  <c r="D219" i="65"/>
  <c r="E219" i="65" s="1"/>
  <c r="F219" i="65" s="1"/>
  <c r="G219" i="65" s="1"/>
  <c r="H219" i="65" s="1"/>
  <c r="I219" i="65" s="1"/>
  <c r="J219" i="65" s="1"/>
  <c r="K219" i="65" s="1"/>
  <c r="AO219" i="63" a="1"/>
  <c r="AO219" i="63" s="1"/>
  <c r="B221" i="65" s="1"/>
  <c r="L220" i="65"/>
  <c r="M220" i="65" s="1"/>
  <c r="O220" i="65"/>
  <c r="C220" i="65"/>
  <c r="N220" i="65" l="1"/>
  <c r="U220" i="65" s="1"/>
  <c r="P220" i="65"/>
  <c r="AG217" i="65"/>
  <c r="Y218" i="65"/>
  <c r="AG218" i="65" s="1"/>
  <c r="AM220" i="65"/>
  <c r="D220" i="65"/>
  <c r="E220" i="65" s="1"/>
  <c r="F220" i="65" s="1"/>
  <c r="G220" i="65" s="1"/>
  <c r="H220" i="65" s="1"/>
  <c r="I220" i="65" s="1"/>
  <c r="J220" i="65" s="1"/>
  <c r="K220" i="65" s="1"/>
  <c r="AO220" i="63" a="1"/>
  <c r="AO220" i="63" s="1"/>
  <c r="B222" i="65" s="1"/>
  <c r="O221" i="65"/>
  <c r="C221" i="65"/>
  <c r="L221" i="65"/>
  <c r="M221" i="65" s="1"/>
  <c r="R219" i="65"/>
  <c r="S219" i="65" s="1"/>
  <c r="Q219" i="65"/>
  <c r="AH219" i="65"/>
  <c r="AV219" i="65"/>
  <c r="AE219" i="65"/>
  <c r="AF219" i="65"/>
  <c r="N221" i="65" l="1"/>
  <c r="U221" i="65" s="1"/>
  <c r="P221" i="65"/>
  <c r="AB218" i="65"/>
  <c r="AC218" i="65" s="1"/>
  <c r="AD218" i="65" s="1"/>
  <c r="Y219" i="65"/>
  <c r="AB219" i="65" s="1"/>
  <c r="AC219" i="65" s="1"/>
  <c r="AD219" i="65" s="1"/>
  <c r="AO221" i="63" a="1"/>
  <c r="AO221" i="63" s="1"/>
  <c r="B223" i="65" s="1"/>
  <c r="AM221" i="65"/>
  <c r="D221" i="65"/>
  <c r="E221" i="65" s="1"/>
  <c r="F221" i="65" s="1"/>
  <c r="G221" i="65" s="1"/>
  <c r="H221" i="65" s="1"/>
  <c r="I221" i="65" s="1"/>
  <c r="J221" i="65" s="1"/>
  <c r="K221" i="65" s="1"/>
  <c r="Q220" i="65"/>
  <c r="R220" i="65"/>
  <c r="S220" i="65" s="1"/>
  <c r="Y220" i="65" s="1"/>
  <c r="AF220" i="65"/>
  <c r="AH220" i="65"/>
  <c r="AE220" i="65"/>
  <c r="AV220" i="65"/>
  <c r="L222" i="65"/>
  <c r="M222" i="65" s="1"/>
  <c r="O222" i="65"/>
  <c r="C222" i="65"/>
  <c r="N222" i="65" l="1"/>
  <c r="U222" i="65" s="1"/>
  <c r="P222" i="65"/>
  <c r="AG219" i="65"/>
  <c r="AB220" i="65"/>
  <c r="AC220" i="65" s="1"/>
  <c r="AD220" i="65" s="1"/>
  <c r="AO222" i="63" a="1"/>
  <c r="AO222" i="63" s="1"/>
  <c r="B224" i="65" s="1"/>
  <c r="AM222" i="65"/>
  <c r="D222" i="65"/>
  <c r="E222" i="65" s="1"/>
  <c r="F222" i="65" s="1"/>
  <c r="G222" i="65" s="1"/>
  <c r="H222" i="65" s="1"/>
  <c r="I222" i="65" s="1"/>
  <c r="J222" i="65" s="1"/>
  <c r="K222" i="65" s="1"/>
  <c r="AH221" i="65"/>
  <c r="Q221" i="65"/>
  <c r="R221" i="65"/>
  <c r="S221" i="65" s="1"/>
  <c r="AV221" i="65"/>
  <c r="AF221" i="65"/>
  <c r="AE221" i="65"/>
  <c r="AG220" i="65"/>
  <c r="O223" i="65"/>
  <c r="L223" i="65"/>
  <c r="M223" i="65" s="1"/>
  <c r="C223" i="65"/>
  <c r="N223" i="65" l="1"/>
  <c r="U223" i="65" s="1"/>
  <c r="P223" i="65"/>
  <c r="Y221" i="65"/>
  <c r="AB221" i="65" s="1"/>
  <c r="AC221" i="65" s="1"/>
  <c r="AD221" i="65" s="1"/>
  <c r="AO223" i="63" a="1"/>
  <c r="AO223" i="63" s="1"/>
  <c r="B225" i="65" s="1"/>
  <c r="AE222" i="65"/>
  <c r="AH222" i="65"/>
  <c r="AF222" i="65"/>
  <c r="AV222" i="65"/>
  <c r="R222" i="65"/>
  <c r="S222" i="65" s="1"/>
  <c r="Q222" i="65"/>
  <c r="D223" i="65"/>
  <c r="E223" i="65" s="1"/>
  <c r="F223" i="65" s="1"/>
  <c r="G223" i="65" s="1"/>
  <c r="H223" i="65" s="1"/>
  <c r="I223" i="65" s="1"/>
  <c r="J223" i="65" s="1"/>
  <c r="K223" i="65" s="1"/>
  <c r="AM223" i="65"/>
  <c r="C224" i="65"/>
  <c r="L224" i="65"/>
  <c r="M224" i="65" s="1"/>
  <c r="O224" i="65"/>
  <c r="N224" i="65" l="1"/>
  <c r="U224" i="65" s="1"/>
  <c r="P224" i="65"/>
  <c r="AG221" i="65"/>
  <c r="Y222" i="65"/>
  <c r="AB222" i="65" s="1"/>
  <c r="AC222" i="65" s="1"/>
  <c r="AD222" i="65" s="1"/>
  <c r="AM224" i="65"/>
  <c r="D224" i="65"/>
  <c r="E224" i="65" s="1"/>
  <c r="F224" i="65" s="1"/>
  <c r="G224" i="65" s="1"/>
  <c r="H224" i="65" s="1"/>
  <c r="I224" i="65" s="1"/>
  <c r="J224" i="65" s="1"/>
  <c r="K224" i="65" s="1"/>
  <c r="AO224" i="63" a="1"/>
  <c r="AO224" i="63" s="1"/>
  <c r="B226" i="65" s="1"/>
  <c r="Q223" i="65"/>
  <c r="AH223" i="65"/>
  <c r="AE223" i="65"/>
  <c r="AF223" i="65"/>
  <c r="R223" i="65"/>
  <c r="S223" i="65" s="1"/>
  <c r="AV223" i="65"/>
  <c r="L225" i="65"/>
  <c r="M225" i="65" s="1"/>
  <c r="O225" i="65"/>
  <c r="C225" i="65"/>
  <c r="N225" i="65" l="1"/>
  <c r="U225" i="65" s="1"/>
  <c r="P225" i="65"/>
  <c r="AG222" i="65"/>
  <c r="Y223" i="65"/>
  <c r="AB223" i="65" s="1"/>
  <c r="AC223" i="65" s="1"/>
  <c r="AD223" i="65" s="1"/>
  <c r="D225" i="65"/>
  <c r="E225" i="65" s="1"/>
  <c r="F225" i="65" s="1"/>
  <c r="G225" i="65" s="1"/>
  <c r="H225" i="65" s="1"/>
  <c r="I225" i="65" s="1"/>
  <c r="J225" i="65" s="1"/>
  <c r="K225" i="65" s="1"/>
  <c r="AM225" i="65"/>
  <c r="AV224" i="65"/>
  <c r="AE224" i="65"/>
  <c r="AH224" i="65"/>
  <c r="R224" i="65"/>
  <c r="S224" i="65" s="1"/>
  <c r="Y224" i="65" s="1"/>
  <c r="AF224" i="65"/>
  <c r="Q224" i="65"/>
  <c r="AO225" i="63" a="1"/>
  <c r="AO225" i="63" s="1"/>
  <c r="B227" i="65" s="1"/>
  <c r="L226" i="65"/>
  <c r="M226" i="65" s="1"/>
  <c r="C226" i="65"/>
  <c r="O226" i="65"/>
  <c r="N226" i="65" l="1"/>
  <c r="U226" i="65" s="1"/>
  <c r="P226" i="65"/>
  <c r="AG223" i="65"/>
  <c r="AB224" i="65"/>
  <c r="AC224" i="65" s="1"/>
  <c r="AD224" i="65" s="1"/>
  <c r="AG224" i="65"/>
  <c r="AO226" i="63" a="1"/>
  <c r="AO226" i="63" s="1"/>
  <c r="B228" i="65" s="1"/>
  <c r="AV225" i="65"/>
  <c r="AH225" i="65"/>
  <c r="AE225" i="65"/>
  <c r="AF225" i="65"/>
  <c r="R225" i="65"/>
  <c r="S225" i="65" s="1"/>
  <c r="Q225" i="65"/>
  <c r="D226" i="65"/>
  <c r="E226" i="65" s="1"/>
  <c r="F226" i="65" s="1"/>
  <c r="G226" i="65" s="1"/>
  <c r="H226" i="65" s="1"/>
  <c r="I226" i="65" s="1"/>
  <c r="J226" i="65" s="1"/>
  <c r="K226" i="65" s="1"/>
  <c r="AM226" i="65"/>
  <c r="L227" i="65"/>
  <c r="M227" i="65" s="1"/>
  <c r="C227" i="65"/>
  <c r="O227" i="65"/>
  <c r="N227" i="65" l="1"/>
  <c r="U227" i="65" s="1"/>
  <c r="P227" i="65"/>
  <c r="Y225" i="65"/>
  <c r="AB225" i="65" s="1"/>
  <c r="AC225" i="65" s="1"/>
  <c r="AD225" i="65" s="1"/>
  <c r="AO227" i="63" a="1"/>
  <c r="AO227" i="63" s="1"/>
  <c r="B229" i="65" s="1"/>
  <c r="AM227" i="65"/>
  <c r="D227" i="65"/>
  <c r="E227" i="65" s="1"/>
  <c r="F227" i="65" s="1"/>
  <c r="G227" i="65" s="1"/>
  <c r="H227" i="65" s="1"/>
  <c r="I227" i="65" s="1"/>
  <c r="J227" i="65" s="1"/>
  <c r="K227" i="65" s="1"/>
  <c r="R226" i="65"/>
  <c r="S226" i="65" s="1"/>
  <c r="Q226" i="65"/>
  <c r="AV226" i="65"/>
  <c r="AH226" i="65"/>
  <c r="AF226" i="65"/>
  <c r="AE226" i="65"/>
  <c r="C228" i="65"/>
  <c r="O228" i="65"/>
  <c r="L228" i="65"/>
  <c r="M228" i="65" s="1"/>
  <c r="N228" i="65" l="1"/>
  <c r="U228" i="65" s="1"/>
  <c r="P228" i="65"/>
  <c r="Y226" i="65"/>
  <c r="AB226" i="65" s="1"/>
  <c r="AC226" i="65" s="1"/>
  <c r="AD226" i="65" s="1"/>
  <c r="AG225" i="65"/>
  <c r="AH227" i="65"/>
  <c r="Q227" i="65"/>
  <c r="AV227" i="65"/>
  <c r="AE227" i="65"/>
  <c r="AF227" i="65"/>
  <c r="R227" i="65"/>
  <c r="S227" i="65" s="1"/>
  <c r="AO228" i="63" a="1"/>
  <c r="AO228" i="63" s="1"/>
  <c r="B230" i="65" s="1"/>
  <c r="AM228" i="65"/>
  <c r="D228" i="65"/>
  <c r="E228" i="65" s="1"/>
  <c r="F228" i="65" s="1"/>
  <c r="G228" i="65" s="1"/>
  <c r="H228" i="65" s="1"/>
  <c r="I228" i="65" s="1"/>
  <c r="J228" i="65" s="1"/>
  <c r="K228" i="65" s="1"/>
  <c r="O229" i="65"/>
  <c r="L229" i="65"/>
  <c r="M229" i="65" s="1"/>
  <c r="C229" i="65"/>
  <c r="N229" i="65" l="1"/>
  <c r="U229" i="65" s="1"/>
  <c r="P229" i="65"/>
  <c r="AG226" i="65"/>
  <c r="Y227" i="65"/>
  <c r="AB227" i="65" s="1"/>
  <c r="AC227" i="65" s="1"/>
  <c r="AD227" i="65" s="1"/>
  <c r="AO229" i="63" a="1"/>
  <c r="AO229" i="63" s="1"/>
  <c r="B231" i="65" s="1"/>
  <c r="AV228" i="65"/>
  <c r="R228" i="65"/>
  <c r="S228" i="65" s="1"/>
  <c r="AH228" i="65"/>
  <c r="Q228" i="65"/>
  <c r="AF228" i="65"/>
  <c r="AE228" i="65"/>
  <c r="C230" i="65"/>
  <c r="L230" i="65"/>
  <c r="M230" i="65" s="1"/>
  <c r="O230" i="65"/>
  <c r="D229" i="65"/>
  <c r="E229" i="65" s="1"/>
  <c r="F229" i="65" s="1"/>
  <c r="G229" i="65" s="1"/>
  <c r="H229" i="65" s="1"/>
  <c r="I229" i="65" s="1"/>
  <c r="J229" i="65" s="1"/>
  <c r="K229" i="65" s="1"/>
  <c r="AM229" i="65"/>
  <c r="N230" i="65" l="1"/>
  <c r="U230" i="65" s="1"/>
  <c r="P230" i="65"/>
  <c r="AG227" i="65"/>
  <c r="Y228" i="65"/>
  <c r="AG228" i="65" s="1"/>
  <c r="AO230" i="63" a="1"/>
  <c r="AO230" i="63" s="1"/>
  <c r="B232" i="65" s="1"/>
  <c r="R229" i="65"/>
  <c r="S229" i="65" s="1"/>
  <c r="AE229" i="65"/>
  <c r="AF229" i="65"/>
  <c r="Q229" i="65"/>
  <c r="AV229" i="65"/>
  <c r="AH229" i="65"/>
  <c r="D230" i="65"/>
  <c r="E230" i="65" s="1"/>
  <c r="F230" i="65" s="1"/>
  <c r="G230" i="65" s="1"/>
  <c r="H230" i="65" s="1"/>
  <c r="I230" i="65" s="1"/>
  <c r="J230" i="65" s="1"/>
  <c r="K230" i="65" s="1"/>
  <c r="AM230" i="65"/>
  <c r="O231" i="65"/>
  <c r="C231" i="65"/>
  <c r="L231" i="65"/>
  <c r="M231" i="65" s="1"/>
  <c r="N231" i="65" l="1"/>
  <c r="U231" i="65" s="1"/>
  <c r="P231" i="65"/>
  <c r="AB228" i="65"/>
  <c r="AC228" i="65" s="1"/>
  <c r="AD228" i="65" s="1"/>
  <c r="Y229" i="65"/>
  <c r="AB229" i="65" s="1"/>
  <c r="AC229" i="65" s="1"/>
  <c r="AD229" i="65" s="1"/>
  <c r="D231" i="65"/>
  <c r="E231" i="65" s="1"/>
  <c r="F231" i="65" s="1"/>
  <c r="G231" i="65" s="1"/>
  <c r="H231" i="65" s="1"/>
  <c r="I231" i="65" s="1"/>
  <c r="J231" i="65" s="1"/>
  <c r="K231" i="65" s="1"/>
  <c r="AM231" i="65"/>
  <c r="R230" i="65"/>
  <c r="S230" i="65" s="1"/>
  <c r="Y230" i="65" s="1"/>
  <c r="AE230" i="65"/>
  <c r="AV230" i="65"/>
  <c r="AF230" i="65"/>
  <c r="Q230" i="65"/>
  <c r="AH230" i="65"/>
  <c r="L232" i="65"/>
  <c r="M232" i="65" s="1"/>
  <c r="O232" i="65"/>
  <c r="C232" i="65"/>
  <c r="AO231" i="63" a="1"/>
  <c r="AO231" i="63" s="1"/>
  <c r="B233" i="65" s="1"/>
  <c r="N232" i="65" l="1"/>
  <c r="P232" i="65"/>
  <c r="AB230" i="65"/>
  <c r="AC230" i="65" s="1"/>
  <c r="AD230" i="65" s="1"/>
  <c r="AG229" i="65"/>
  <c r="AG230" i="65"/>
  <c r="L233" i="65"/>
  <c r="M233" i="65" s="1"/>
  <c r="O233" i="65"/>
  <c r="C233" i="65"/>
  <c r="AH231" i="65"/>
  <c r="Q231" i="65"/>
  <c r="AV231" i="65"/>
  <c r="AE231" i="65"/>
  <c r="AF231" i="65"/>
  <c r="R231" i="65"/>
  <c r="S231" i="65" s="1"/>
  <c r="D232" i="65"/>
  <c r="E232" i="65" s="1"/>
  <c r="F232" i="65" s="1"/>
  <c r="G232" i="65" s="1"/>
  <c r="H232" i="65" s="1"/>
  <c r="I232" i="65" s="1"/>
  <c r="J232" i="65" s="1"/>
  <c r="K232" i="65" s="1"/>
  <c r="AM232" i="65"/>
  <c r="U232" i="65"/>
  <c r="AO232" i="63" a="1"/>
  <c r="AO232" i="63" s="1"/>
  <c r="B234" i="65" s="1"/>
  <c r="N233" i="65" l="1"/>
  <c r="U233" i="65" s="1"/>
  <c r="P233" i="65"/>
  <c r="Y231" i="65"/>
  <c r="AB231" i="65" s="1"/>
  <c r="AC231" i="65" s="1"/>
  <c r="AD231" i="65" s="1"/>
  <c r="R232" i="65"/>
  <c r="S232" i="65" s="1"/>
  <c r="Q232" i="65"/>
  <c r="AE232" i="65"/>
  <c r="AV232" i="65"/>
  <c r="AF232" i="65"/>
  <c r="AH232" i="65"/>
  <c r="D233" i="65"/>
  <c r="E233" i="65" s="1"/>
  <c r="F233" i="65" s="1"/>
  <c r="G233" i="65" s="1"/>
  <c r="H233" i="65" s="1"/>
  <c r="I233" i="65" s="1"/>
  <c r="J233" i="65" s="1"/>
  <c r="K233" i="65" s="1"/>
  <c r="AM233" i="65"/>
  <c r="AO233" i="63" a="1"/>
  <c r="AO233" i="63" s="1"/>
  <c r="B235" i="65" s="1"/>
  <c r="O234" i="65"/>
  <c r="C234" i="65"/>
  <c r="L234" i="65"/>
  <c r="M234" i="65" s="1"/>
  <c r="N234" i="65" l="1"/>
  <c r="U234" i="65" s="1"/>
  <c r="P234" i="65"/>
  <c r="AG231" i="65"/>
  <c r="Y232" i="65"/>
  <c r="AG232" i="65" s="1"/>
  <c r="D234" i="65"/>
  <c r="E234" i="65" s="1"/>
  <c r="F234" i="65" s="1"/>
  <c r="G234" i="65" s="1"/>
  <c r="H234" i="65" s="1"/>
  <c r="I234" i="65" s="1"/>
  <c r="J234" i="65" s="1"/>
  <c r="K234" i="65" s="1"/>
  <c r="AM234" i="65"/>
  <c r="AV233" i="65"/>
  <c r="R233" i="65"/>
  <c r="S233" i="65" s="1"/>
  <c r="Q233" i="65"/>
  <c r="AH233" i="65"/>
  <c r="AE233" i="65"/>
  <c r="AF233" i="65"/>
  <c r="L235" i="65"/>
  <c r="M235" i="65" s="1"/>
  <c r="O235" i="65"/>
  <c r="C235" i="65"/>
  <c r="AO234" i="63" a="1"/>
  <c r="AO234" i="63" s="1"/>
  <c r="B236" i="65" s="1"/>
  <c r="N235" i="65" l="1"/>
  <c r="U235" i="65" s="1"/>
  <c r="P235" i="65"/>
  <c r="AB232" i="65"/>
  <c r="AC232" i="65" s="1"/>
  <c r="AD232" i="65" s="1"/>
  <c r="Y233" i="65"/>
  <c r="AB233" i="65" s="1"/>
  <c r="AC233" i="65" s="1"/>
  <c r="AD233" i="65" s="1"/>
  <c r="L236" i="65"/>
  <c r="M236" i="65" s="1"/>
  <c r="C236" i="65"/>
  <c r="O236" i="65"/>
  <c r="AM235" i="65"/>
  <c r="D235" i="65"/>
  <c r="E235" i="65" s="1"/>
  <c r="F235" i="65" s="1"/>
  <c r="G235" i="65" s="1"/>
  <c r="H235" i="65" s="1"/>
  <c r="I235" i="65" s="1"/>
  <c r="J235" i="65" s="1"/>
  <c r="K235" i="65" s="1"/>
  <c r="AO235" i="63" a="1"/>
  <c r="AO235" i="63" s="1"/>
  <c r="B237" i="65" s="1"/>
  <c r="AF234" i="65"/>
  <c r="Q234" i="65"/>
  <c r="AV234" i="65"/>
  <c r="AE234" i="65"/>
  <c r="R234" i="65"/>
  <c r="S234" i="65" s="1"/>
  <c r="AH234" i="65"/>
  <c r="N236" i="65" l="1"/>
  <c r="U236" i="65" s="1"/>
  <c r="P236" i="65"/>
  <c r="Y234" i="65"/>
  <c r="AB234" i="65" s="1"/>
  <c r="AC234" i="65" s="1"/>
  <c r="AD234" i="65" s="1"/>
  <c r="AG233" i="65"/>
  <c r="Q235" i="65"/>
  <c r="AH235" i="65"/>
  <c r="R235" i="65"/>
  <c r="S235" i="65" s="1"/>
  <c r="Y235" i="65" s="1"/>
  <c r="AV235" i="65"/>
  <c r="AE235" i="65"/>
  <c r="AF235" i="65"/>
  <c r="AO236" i="63" a="1"/>
  <c r="AO236" i="63" s="1"/>
  <c r="B238" i="65" s="1"/>
  <c r="AM236" i="65"/>
  <c r="D236" i="65"/>
  <c r="E236" i="65" s="1"/>
  <c r="F236" i="65" s="1"/>
  <c r="G236" i="65" s="1"/>
  <c r="H236" i="65" s="1"/>
  <c r="I236" i="65" s="1"/>
  <c r="J236" i="65" s="1"/>
  <c r="K236" i="65" s="1"/>
  <c r="C237" i="65"/>
  <c r="O237" i="65"/>
  <c r="L237" i="65"/>
  <c r="M237" i="65" s="1"/>
  <c r="N237" i="65" l="1"/>
  <c r="U237" i="65" s="1"/>
  <c r="P237" i="65"/>
  <c r="AG234" i="65"/>
  <c r="AB235" i="65"/>
  <c r="AC235" i="65" s="1"/>
  <c r="AD235" i="65" s="1"/>
  <c r="AG235" i="65"/>
  <c r="R236" i="65"/>
  <c r="S236" i="65" s="1"/>
  <c r="AF236" i="65"/>
  <c r="AV236" i="65"/>
  <c r="Q236" i="65"/>
  <c r="AH236" i="65"/>
  <c r="AE236" i="65"/>
  <c r="D237" i="65"/>
  <c r="E237" i="65" s="1"/>
  <c r="F237" i="65" s="1"/>
  <c r="G237" i="65" s="1"/>
  <c r="H237" i="65" s="1"/>
  <c r="I237" i="65" s="1"/>
  <c r="J237" i="65" s="1"/>
  <c r="K237" i="65" s="1"/>
  <c r="AM237" i="65"/>
  <c r="L238" i="65"/>
  <c r="M238" i="65" s="1"/>
  <c r="C238" i="65"/>
  <c r="P238" i="65" s="1"/>
  <c r="O238" i="65"/>
  <c r="AO237" i="63" a="1"/>
  <c r="AO237" i="63" s="1"/>
  <c r="B239" i="65" s="1"/>
  <c r="Y236" i="65" l="1"/>
  <c r="AG236" i="65" s="1"/>
  <c r="N238" i="65"/>
  <c r="Q238" i="65" s="1"/>
  <c r="AO238" i="63" a="1"/>
  <c r="AO238" i="63" s="1"/>
  <c r="B240" i="65" s="1"/>
  <c r="AV237" i="65"/>
  <c r="R237" i="65"/>
  <c r="S237" i="65" s="1"/>
  <c r="AH237" i="65"/>
  <c r="AE237" i="65"/>
  <c r="Q237" i="65"/>
  <c r="AF237" i="65"/>
  <c r="L239" i="65"/>
  <c r="M239" i="65" s="1"/>
  <c r="C239" i="65"/>
  <c r="O239" i="65"/>
  <c r="AM238" i="65"/>
  <c r="D238" i="65"/>
  <c r="E238" i="65" s="1"/>
  <c r="F238" i="65" s="1"/>
  <c r="G238" i="65" s="1"/>
  <c r="H238" i="65" s="1"/>
  <c r="I238" i="65" s="1"/>
  <c r="J238" i="65" s="1"/>
  <c r="K238" i="65" s="1"/>
  <c r="N239" i="65" l="1"/>
  <c r="U239" i="65" s="1"/>
  <c r="P239" i="65"/>
  <c r="AB236" i="65"/>
  <c r="AC236" i="65" s="1"/>
  <c r="AD236" i="65" s="1"/>
  <c r="Y237" i="65"/>
  <c r="AB237" i="65" s="1"/>
  <c r="AC237" i="65" s="1"/>
  <c r="AD237" i="65" s="1"/>
  <c r="R238" i="65"/>
  <c r="S238" i="65" s="1"/>
  <c r="Y238" i="65" s="1"/>
  <c r="AB238" i="65" s="1"/>
  <c r="AC238" i="65" s="1"/>
  <c r="AE238" i="65"/>
  <c r="AH238" i="65" s="1"/>
  <c r="U238" i="65"/>
  <c r="AV238" i="65"/>
  <c r="D239" i="65"/>
  <c r="E239" i="65" s="1"/>
  <c r="F239" i="65" s="1"/>
  <c r="G239" i="65" s="1"/>
  <c r="H239" i="65" s="1"/>
  <c r="I239" i="65" s="1"/>
  <c r="J239" i="65" s="1"/>
  <c r="K239" i="65" s="1"/>
  <c r="AM239" i="65"/>
  <c r="AO239" i="63" a="1"/>
  <c r="AO239" i="63" s="1"/>
  <c r="B241" i="65" s="1"/>
  <c r="L240" i="65"/>
  <c r="M240" i="65" s="1"/>
  <c r="C240" i="65"/>
  <c r="O240" i="65"/>
  <c r="N240" i="65" l="1"/>
  <c r="U240" i="65" s="1"/>
  <c r="P240" i="65"/>
  <c r="AG237" i="65"/>
  <c r="L241" i="65"/>
  <c r="M241" i="65" s="1"/>
  <c r="O241" i="65"/>
  <c r="C241" i="65"/>
  <c r="AF239" i="65"/>
  <c r="AE239" i="65"/>
  <c r="Q239" i="65"/>
  <c r="R239" i="65"/>
  <c r="S239" i="65" s="1"/>
  <c r="AH239" i="65"/>
  <c r="AV239" i="65"/>
  <c r="AO240" i="63" a="1"/>
  <c r="AO240" i="63" s="1"/>
  <c r="B242" i="65" s="1"/>
  <c r="AM240" i="65"/>
  <c r="D240" i="65"/>
  <c r="E240" i="65" s="1"/>
  <c r="F240" i="65" s="1"/>
  <c r="G240" i="65" s="1"/>
  <c r="H240" i="65" s="1"/>
  <c r="I240" i="65" s="1"/>
  <c r="J240" i="65" s="1"/>
  <c r="K240" i="65" s="1"/>
  <c r="AF238" i="65"/>
  <c r="AG238" i="65" s="1"/>
  <c r="AD238" i="65"/>
  <c r="N241" i="65" l="1"/>
  <c r="U241" i="65" s="1"/>
  <c r="P241" i="65"/>
  <c r="Y239" i="65"/>
  <c r="AB239" i="65" s="1"/>
  <c r="AC239" i="65" s="1"/>
  <c r="AD239" i="65" s="1"/>
  <c r="R240" i="65"/>
  <c r="S240" i="65" s="1"/>
  <c r="Y240" i="65" s="1"/>
  <c r="AF240" i="65"/>
  <c r="AE240" i="65"/>
  <c r="AH240" i="65"/>
  <c r="Q240" i="65"/>
  <c r="AV240" i="65"/>
  <c r="AO241" i="63" a="1"/>
  <c r="AO241" i="63" s="1"/>
  <c r="B243" i="65" s="1"/>
  <c r="AM241" i="65"/>
  <c r="D241" i="65"/>
  <c r="E241" i="65" s="1"/>
  <c r="F241" i="65" s="1"/>
  <c r="G241" i="65" s="1"/>
  <c r="H241" i="65" s="1"/>
  <c r="I241" i="65" s="1"/>
  <c r="J241" i="65" s="1"/>
  <c r="K241" i="65" s="1"/>
  <c r="O242" i="65"/>
  <c r="L242" i="65"/>
  <c r="M242" i="65" s="1"/>
  <c r="C242" i="65"/>
  <c r="N242" i="65" l="1"/>
  <c r="U242" i="65" s="1"/>
  <c r="P242" i="65"/>
  <c r="AG239" i="65"/>
  <c r="AB240" i="65"/>
  <c r="AC240" i="65" s="1"/>
  <c r="AD240" i="65" s="1"/>
  <c r="AE241" i="65"/>
  <c r="AV241" i="65"/>
  <c r="R241" i="65"/>
  <c r="S241" i="65" s="1"/>
  <c r="AH241" i="65"/>
  <c r="Q241" i="65"/>
  <c r="AF241" i="65"/>
  <c r="AM242" i="65"/>
  <c r="D242" i="65"/>
  <c r="E242" i="65" s="1"/>
  <c r="F242" i="65" s="1"/>
  <c r="G242" i="65" s="1"/>
  <c r="H242" i="65" s="1"/>
  <c r="I242" i="65" s="1"/>
  <c r="J242" i="65" s="1"/>
  <c r="K242" i="65" s="1"/>
  <c r="AG240" i="65"/>
  <c r="O243" i="65"/>
  <c r="C243" i="65"/>
  <c r="L243" i="65"/>
  <c r="M243" i="65" s="1"/>
  <c r="AO242" i="63" a="1"/>
  <c r="AO242" i="63" s="1"/>
  <c r="B244" i="65" s="1"/>
  <c r="N243" i="65" l="1"/>
  <c r="U243" i="65" s="1"/>
  <c r="P243" i="65"/>
  <c r="Y241" i="65"/>
  <c r="AG241" i="65" s="1"/>
  <c r="AM243" i="65"/>
  <c r="D243" i="65"/>
  <c r="E243" i="65" s="1"/>
  <c r="F243" i="65" s="1"/>
  <c r="G243" i="65" s="1"/>
  <c r="H243" i="65" s="1"/>
  <c r="I243" i="65" s="1"/>
  <c r="J243" i="65" s="1"/>
  <c r="K243" i="65" s="1"/>
  <c r="C244" i="65"/>
  <c r="L244" i="65"/>
  <c r="M244" i="65" s="1"/>
  <c r="O244" i="65"/>
  <c r="R242" i="65"/>
  <c r="S242" i="65" s="1"/>
  <c r="AF242" i="65"/>
  <c r="AH242" i="65"/>
  <c r="AE242" i="65"/>
  <c r="AV242" i="65"/>
  <c r="Q242" i="65"/>
  <c r="AO243" i="63" a="1"/>
  <c r="AO243" i="63" s="1"/>
  <c r="B245" i="65" s="1"/>
  <c r="N244" i="65" l="1"/>
  <c r="U244" i="65" s="1"/>
  <c r="P244" i="65"/>
  <c r="AB241" i="65"/>
  <c r="AC241" i="65" s="1"/>
  <c r="AD241" i="65" s="1"/>
  <c r="Y242" i="65"/>
  <c r="AB242" i="65" s="1"/>
  <c r="AC242" i="65" s="1"/>
  <c r="AD242" i="65" s="1"/>
  <c r="C245" i="65"/>
  <c r="L245" i="65"/>
  <c r="M245" i="65" s="1"/>
  <c r="O245" i="65"/>
  <c r="AO244" i="63" a="1"/>
  <c r="AO244" i="63" s="1"/>
  <c r="B246" i="65" s="1"/>
  <c r="AM244" i="65"/>
  <c r="D244" i="65"/>
  <c r="E244" i="65" s="1"/>
  <c r="F244" i="65" s="1"/>
  <c r="G244" i="65" s="1"/>
  <c r="H244" i="65" s="1"/>
  <c r="I244" i="65" s="1"/>
  <c r="J244" i="65" s="1"/>
  <c r="K244" i="65" s="1"/>
  <c r="AF243" i="65"/>
  <c r="AV243" i="65"/>
  <c r="R243" i="65"/>
  <c r="S243" i="65" s="1"/>
  <c r="AE243" i="65"/>
  <c r="AH243" i="65"/>
  <c r="Q243" i="65"/>
  <c r="N245" i="65" l="1"/>
  <c r="U245" i="65" s="1"/>
  <c r="P245" i="65"/>
  <c r="Y243" i="65"/>
  <c r="AB243" i="65" s="1"/>
  <c r="AC243" i="65" s="1"/>
  <c r="AD243" i="65" s="1"/>
  <c r="AG242" i="65"/>
  <c r="AV244" i="65"/>
  <c r="AF244" i="65"/>
  <c r="AH244" i="65"/>
  <c r="Q244" i="65"/>
  <c r="AE244" i="65"/>
  <c r="R244" i="65"/>
  <c r="S244" i="65" s="1"/>
  <c r="Y244" i="65" s="1"/>
  <c r="L246" i="65"/>
  <c r="M246" i="65" s="1"/>
  <c r="O246" i="65"/>
  <c r="C246" i="65"/>
  <c r="AO245" i="63" a="1"/>
  <c r="AO245" i="63" s="1"/>
  <c r="B247" i="65" s="1"/>
  <c r="AM245" i="65"/>
  <c r="D245" i="65"/>
  <c r="E245" i="65" s="1"/>
  <c r="F245" i="65" s="1"/>
  <c r="G245" i="65" s="1"/>
  <c r="H245" i="65" s="1"/>
  <c r="I245" i="65" s="1"/>
  <c r="J245" i="65" s="1"/>
  <c r="K245" i="65" s="1"/>
  <c r="N246" i="65" l="1"/>
  <c r="U246" i="65" s="1"/>
  <c r="P246" i="65"/>
  <c r="AG243" i="65"/>
  <c r="AB244" i="65"/>
  <c r="AC244" i="65" s="1"/>
  <c r="AD244" i="65" s="1"/>
  <c r="C247" i="65"/>
  <c r="P247" i="65" s="1"/>
  <c r="L247" i="65"/>
  <c r="M247" i="65" s="1"/>
  <c r="O247" i="65"/>
  <c r="AV245" i="65"/>
  <c r="AH245" i="65"/>
  <c r="AF245" i="65"/>
  <c r="Q245" i="65"/>
  <c r="R245" i="65"/>
  <c r="S245" i="65" s="1"/>
  <c r="AE245" i="65"/>
  <c r="D246" i="65"/>
  <c r="E246" i="65" s="1"/>
  <c r="F246" i="65" s="1"/>
  <c r="G246" i="65" s="1"/>
  <c r="H246" i="65" s="1"/>
  <c r="I246" i="65" s="1"/>
  <c r="J246" i="65" s="1"/>
  <c r="K246" i="65" s="1"/>
  <c r="AM246" i="65"/>
  <c r="AG244" i="65"/>
  <c r="AO246" i="63" a="1"/>
  <c r="AO246" i="63" s="1"/>
  <c r="B248" i="65" s="1"/>
  <c r="Y245" i="65" l="1"/>
  <c r="AB245" i="65" s="1"/>
  <c r="AC245" i="65" s="1"/>
  <c r="AD245" i="65" s="1"/>
  <c r="N247" i="65"/>
  <c r="U247" i="65" s="1"/>
  <c r="R246" i="65"/>
  <c r="S246" i="65" s="1"/>
  <c r="AF246" i="65"/>
  <c r="AH246" i="65"/>
  <c r="AV246" i="65"/>
  <c r="Q246" i="65"/>
  <c r="AE246" i="65"/>
  <c r="AO247" i="63" a="1"/>
  <c r="AO247" i="63" s="1"/>
  <c r="B249" i="65" s="1"/>
  <c r="C248" i="65"/>
  <c r="L248" i="65"/>
  <c r="M248" i="65" s="1"/>
  <c r="O248" i="65"/>
  <c r="AM247" i="65"/>
  <c r="D247" i="65"/>
  <c r="E247" i="65" s="1"/>
  <c r="F247" i="65" s="1"/>
  <c r="G247" i="65" s="1"/>
  <c r="H247" i="65" s="1"/>
  <c r="I247" i="65" s="1"/>
  <c r="J247" i="65" s="1"/>
  <c r="K247" i="65" s="1"/>
  <c r="N248" i="65" l="1"/>
  <c r="U248" i="65" s="1"/>
  <c r="P248" i="65"/>
  <c r="AG245" i="65"/>
  <c r="Y246" i="65"/>
  <c r="AG246" i="65" s="1"/>
  <c r="AE247" i="65"/>
  <c r="AH247" i="65" s="1"/>
  <c r="Q247" i="65"/>
  <c r="AV247" i="65"/>
  <c r="R247" i="65"/>
  <c r="S247" i="65" s="1"/>
  <c r="D248" i="65"/>
  <c r="E248" i="65" s="1"/>
  <c r="F248" i="65" s="1"/>
  <c r="G248" i="65" s="1"/>
  <c r="H248" i="65" s="1"/>
  <c r="I248" i="65" s="1"/>
  <c r="J248" i="65" s="1"/>
  <c r="K248" i="65" s="1"/>
  <c r="AM248" i="65"/>
  <c r="L249" i="65"/>
  <c r="M249" i="65" s="1"/>
  <c r="O249" i="65"/>
  <c r="C249" i="65"/>
  <c r="AO248" i="63" a="1"/>
  <c r="AO248" i="63" s="1"/>
  <c r="B250" i="65" s="1"/>
  <c r="N249" i="65" l="1"/>
  <c r="P249" i="65"/>
  <c r="AB246" i="65"/>
  <c r="AC246" i="65" s="1"/>
  <c r="AD246" i="65" s="1"/>
  <c r="Y247" i="65"/>
  <c r="AB247" i="65" s="1"/>
  <c r="AC247" i="65" s="1"/>
  <c r="AD247" i="65" s="1"/>
  <c r="AF247" i="65"/>
  <c r="O250" i="65"/>
  <c r="L250" i="65"/>
  <c r="M250" i="65" s="1"/>
  <c r="C250" i="65"/>
  <c r="U249" i="65"/>
  <c r="D249" i="65"/>
  <c r="E249" i="65" s="1"/>
  <c r="F249" i="65" s="1"/>
  <c r="G249" i="65" s="1"/>
  <c r="H249" i="65" s="1"/>
  <c r="I249" i="65" s="1"/>
  <c r="J249" i="65" s="1"/>
  <c r="K249" i="65" s="1"/>
  <c r="AM249" i="65"/>
  <c r="AO249" i="63" a="1"/>
  <c r="AO249" i="63" s="1"/>
  <c r="B251" i="65" s="1"/>
  <c r="R248" i="65"/>
  <c r="S248" i="65" s="1"/>
  <c r="AE248" i="65"/>
  <c r="AF248" i="65"/>
  <c r="AH248" i="65"/>
  <c r="Q248" i="65"/>
  <c r="AV248" i="65"/>
  <c r="N250" i="65" l="1"/>
  <c r="U250" i="65" s="1"/>
  <c r="P250" i="65"/>
  <c r="AG247" i="65"/>
  <c r="Y248" i="65"/>
  <c r="AB248" i="65" s="1"/>
  <c r="AC248" i="65" s="1"/>
  <c r="AD248" i="65" s="1"/>
  <c r="AM250" i="65"/>
  <c r="D250" i="65"/>
  <c r="E250" i="65" s="1"/>
  <c r="F250" i="65" s="1"/>
  <c r="G250" i="65" s="1"/>
  <c r="H250" i="65" s="1"/>
  <c r="I250" i="65" s="1"/>
  <c r="J250" i="65" s="1"/>
  <c r="K250" i="65" s="1"/>
  <c r="O251" i="65"/>
  <c r="L251" i="65"/>
  <c r="M251" i="65" s="1"/>
  <c r="C251" i="65"/>
  <c r="AO250" i="63" a="1"/>
  <c r="AO250" i="63" s="1"/>
  <c r="B252" i="65" s="1"/>
  <c r="AV249" i="65"/>
  <c r="Q249" i="65"/>
  <c r="R249" i="65"/>
  <c r="S249" i="65" s="1"/>
  <c r="Y249" i="65" s="1"/>
  <c r="AE249" i="65"/>
  <c r="AF249" i="65"/>
  <c r="AH249" i="65"/>
  <c r="N251" i="65" l="1"/>
  <c r="U251" i="65" s="1"/>
  <c r="P251" i="65"/>
  <c r="AG248" i="65"/>
  <c r="AB249" i="65"/>
  <c r="AC249" i="65" s="1"/>
  <c r="AD249" i="65" s="1"/>
  <c r="C252" i="65"/>
  <c r="O252" i="65"/>
  <c r="L252" i="65"/>
  <c r="M252" i="65" s="1"/>
  <c r="D251" i="65"/>
  <c r="E251" i="65" s="1"/>
  <c r="F251" i="65" s="1"/>
  <c r="G251" i="65" s="1"/>
  <c r="H251" i="65" s="1"/>
  <c r="I251" i="65" s="1"/>
  <c r="J251" i="65" s="1"/>
  <c r="K251" i="65" s="1"/>
  <c r="AM251" i="65"/>
  <c r="AH250" i="65"/>
  <c r="R250" i="65"/>
  <c r="S250" i="65" s="1"/>
  <c r="AV250" i="65"/>
  <c r="Q250" i="65"/>
  <c r="AE250" i="65"/>
  <c r="AF250" i="65"/>
  <c r="AG249" i="65"/>
  <c r="AO251" i="63" a="1"/>
  <c r="AO251" i="63" s="1"/>
  <c r="B253" i="65" s="1"/>
  <c r="N252" i="65" l="1"/>
  <c r="U252" i="65" s="1"/>
  <c r="P252" i="65"/>
  <c r="Y250" i="65"/>
  <c r="AG250" i="65" s="1"/>
  <c r="AE251" i="65"/>
  <c r="AF251" i="65"/>
  <c r="Q251" i="65"/>
  <c r="AH251" i="65"/>
  <c r="R251" i="65"/>
  <c r="S251" i="65" s="1"/>
  <c r="AV251" i="65"/>
  <c r="AO252" i="63" a="1"/>
  <c r="AO252" i="63" s="1"/>
  <c r="B254" i="65" s="1"/>
  <c r="L253" i="65"/>
  <c r="M253" i="65" s="1"/>
  <c r="O253" i="65"/>
  <c r="C253" i="65"/>
  <c r="AM252" i="65"/>
  <c r="D252" i="65"/>
  <c r="E252" i="65" s="1"/>
  <c r="F252" i="65" s="1"/>
  <c r="G252" i="65" s="1"/>
  <c r="H252" i="65" s="1"/>
  <c r="I252" i="65" s="1"/>
  <c r="J252" i="65" s="1"/>
  <c r="K252" i="65" s="1"/>
  <c r="N253" i="65" l="1"/>
  <c r="U253" i="65" s="1"/>
  <c r="P253" i="65"/>
  <c r="AB250" i="65"/>
  <c r="AC250" i="65" s="1"/>
  <c r="AD250" i="65" s="1"/>
  <c r="Y251" i="65"/>
  <c r="AB251" i="65" s="1"/>
  <c r="AC251" i="65" s="1"/>
  <c r="AD251" i="65" s="1"/>
  <c r="AE252" i="65"/>
  <c r="Q252" i="65"/>
  <c r="AV252" i="65"/>
  <c r="AH252" i="65"/>
  <c r="AF252" i="65"/>
  <c r="R252" i="65"/>
  <c r="S252" i="65" s="1"/>
  <c r="D253" i="65"/>
  <c r="E253" i="65" s="1"/>
  <c r="F253" i="65" s="1"/>
  <c r="G253" i="65" s="1"/>
  <c r="H253" i="65" s="1"/>
  <c r="I253" i="65" s="1"/>
  <c r="J253" i="65" s="1"/>
  <c r="K253" i="65" s="1"/>
  <c r="AM253" i="65"/>
  <c r="C254" i="65"/>
  <c r="L254" i="65"/>
  <c r="M254" i="65" s="1"/>
  <c r="O254" i="65"/>
  <c r="AO253" i="63" a="1"/>
  <c r="AO253" i="63" s="1"/>
  <c r="B255" i="65" s="1"/>
  <c r="N254" i="65" l="1"/>
  <c r="U254" i="65" s="1"/>
  <c r="P254" i="65"/>
  <c r="AG251" i="65"/>
  <c r="Y252" i="65"/>
  <c r="AB252" i="65" s="1"/>
  <c r="AC252" i="65" s="1"/>
  <c r="AD252" i="65" s="1"/>
  <c r="O255" i="65"/>
  <c r="L255" i="65"/>
  <c r="M255" i="65" s="1"/>
  <c r="C255" i="65"/>
  <c r="D254" i="65"/>
  <c r="E254" i="65" s="1"/>
  <c r="F254" i="65" s="1"/>
  <c r="G254" i="65" s="1"/>
  <c r="H254" i="65" s="1"/>
  <c r="I254" i="65" s="1"/>
  <c r="J254" i="65" s="1"/>
  <c r="K254" i="65" s="1"/>
  <c r="AM254" i="65"/>
  <c r="R253" i="65"/>
  <c r="S253" i="65" s="1"/>
  <c r="AV253" i="65"/>
  <c r="AF253" i="65"/>
  <c r="AH253" i="65"/>
  <c r="AE253" i="65"/>
  <c r="Q253" i="65"/>
  <c r="AO254" i="63" a="1"/>
  <c r="AO254" i="63" s="1"/>
  <c r="B256" i="65" s="1"/>
  <c r="N255" i="65" l="1"/>
  <c r="U255" i="65" s="1"/>
  <c r="P255" i="65"/>
  <c r="AG252" i="65"/>
  <c r="Y253" i="65"/>
  <c r="AB253" i="65" s="1"/>
  <c r="AC253" i="65" s="1"/>
  <c r="AD253" i="65" s="1"/>
  <c r="AO255" i="63" a="1"/>
  <c r="AO255" i="63" s="1"/>
  <c r="B257" i="65" s="1"/>
  <c r="R254" i="65"/>
  <c r="S254" i="65" s="1"/>
  <c r="Y254" i="65" s="1"/>
  <c r="AF254" i="65"/>
  <c r="AH254" i="65"/>
  <c r="Q254" i="65"/>
  <c r="AV254" i="65"/>
  <c r="AE254" i="65"/>
  <c r="AM255" i="65"/>
  <c r="D255" i="65"/>
  <c r="E255" i="65" s="1"/>
  <c r="F255" i="65" s="1"/>
  <c r="G255" i="65" s="1"/>
  <c r="H255" i="65" s="1"/>
  <c r="I255" i="65" s="1"/>
  <c r="J255" i="65" s="1"/>
  <c r="K255" i="65" s="1"/>
  <c r="L256" i="65"/>
  <c r="M256" i="65" s="1"/>
  <c r="C256" i="65"/>
  <c r="O256" i="65"/>
  <c r="N256" i="65" l="1"/>
  <c r="U256" i="65" s="1"/>
  <c r="P256" i="65"/>
  <c r="AG253" i="65"/>
  <c r="AB254" i="65"/>
  <c r="AC254" i="65" s="1"/>
  <c r="AD254" i="65" s="1"/>
  <c r="AH255" i="65"/>
  <c r="Q255" i="65"/>
  <c r="AV255" i="65"/>
  <c r="AE255" i="65"/>
  <c r="R255" i="65"/>
  <c r="S255" i="65" s="1"/>
  <c r="AF255" i="65"/>
  <c r="AG254" i="65"/>
  <c r="AM256" i="65"/>
  <c r="D256" i="65"/>
  <c r="E256" i="65" s="1"/>
  <c r="F256" i="65" s="1"/>
  <c r="G256" i="65" s="1"/>
  <c r="H256" i="65" s="1"/>
  <c r="I256" i="65" s="1"/>
  <c r="J256" i="65" s="1"/>
  <c r="K256" i="65" s="1"/>
  <c r="C257" i="65"/>
  <c r="L257" i="65"/>
  <c r="M257" i="65" s="1"/>
  <c r="O257" i="65"/>
  <c r="AO256" i="63" a="1"/>
  <c r="AO256" i="63" s="1"/>
  <c r="AO257" i="63" s="1" a="1"/>
  <c r="AO257" i="63" s="1"/>
  <c r="N257" i="65" l="1"/>
  <c r="P257" i="65"/>
  <c r="Y255" i="65"/>
  <c r="AB255" i="65" s="1"/>
  <c r="AC255" i="65" s="1"/>
  <c r="AD255" i="65" s="1"/>
  <c r="Q256" i="65"/>
  <c r="AF256" i="65"/>
  <c r="AE256" i="65"/>
  <c r="AH256" i="65"/>
  <c r="R256" i="65"/>
  <c r="S256" i="65" s="1"/>
  <c r="AV256" i="65"/>
  <c r="AM257" i="65"/>
  <c r="AM258" i="65" s="1"/>
  <c r="H14" i="73" s="1"/>
  <c r="D257" i="65"/>
  <c r="E257" i="65" s="1"/>
  <c r="F257" i="65" s="1"/>
  <c r="G257" i="65" s="1"/>
  <c r="H257" i="65" s="1"/>
  <c r="I257" i="65" s="1"/>
  <c r="J257" i="65" s="1"/>
  <c r="K257" i="65" s="1"/>
  <c r="M174" i="22"/>
  <c r="O174" i="22" s="1"/>
  <c r="AG255" i="65" l="1"/>
  <c r="Y256" i="65"/>
  <c r="AB256" i="65" s="1"/>
  <c r="AC256" i="65" s="1"/>
  <c r="AD256" i="65" s="1"/>
  <c r="H18" i="73"/>
  <c r="M176" i="22"/>
  <c r="O176" i="22" s="1"/>
  <c r="E167" i="36" s="1"/>
  <c r="E207" i="36" s="1"/>
  <c r="U257" i="65"/>
  <c r="M173" i="22"/>
  <c r="O173" i="22" s="1"/>
  <c r="M175" i="22"/>
  <c r="O175" i="22" s="1"/>
  <c r="N174" i="22"/>
  <c r="P174" i="22" s="1"/>
  <c r="AH257" i="65"/>
  <c r="AF257" i="65"/>
  <c r="N172" i="22"/>
  <c r="P172" i="22" s="1"/>
  <c r="AE257" i="65"/>
  <c r="R257" i="65"/>
  <c r="S257" i="65" s="1"/>
  <c r="Y257" i="65" s="1"/>
  <c r="M172" i="22"/>
  <c r="O172" i="22" s="1"/>
  <c r="Q257" i="65"/>
  <c r="Q258" i="65" s="1"/>
  <c r="N175" i="22"/>
  <c r="P175" i="22" s="1"/>
  <c r="AV257" i="65"/>
  <c r="N173" i="22"/>
  <c r="P173" i="22" s="1"/>
  <c r="N176" i="22"/>
  <c r="P176" i="22" s="1"/>
  <c r="E165" i="36"/>
  <c r="Q174" i="22"/>
  <c r="AE174" i="22" s="1"/>
  <c r="AG256" i="65" l="1"/>
  <c r="G167" i="36"/>
  <c r="G207" i="36" s="1"/>
  <c r="Q176" i="22"/>
  <c r="AE176" i="22" s="1"/>
  <c r="E166" i="36"/>
  <c r="Q175" i="22"/>
  <c r="AE175" i="22" s="1"/>
  <c r="E164" i="36"/>
  <c r="Q173" i="22"/>
  <c r="AE173" i="22" s="1"/>
  <c r="AB257" i="65"/>
  <c r="F167" i="36"/>
  <c r="R176" i="22"/>
  <c r="F165" i="36"/>
  <c r="R174" i="22"/>
  <c r="F164" i="36"/>
  <c r="R173" i="22"/>
  <c r="R172" i="22"/>
  <c r="F163" i="36"/>
  <c r="E163" i="36"/>
  <c r="Q172" i="22"/>
  <c r="AE172" i="22" s="1"/>
  <c r="AG257" i="65"/>
  <c r="F166" i="36"/>
  <c r="R175" i="22"/>
  <c r="G165" i="36"/>
  <c r="G205" i="36" s="1"/>
  <c r="E205" i="36"/>
  <c r="AC257" i="65" l="1"/>
  <c r="Y2" i="65" s="1"/>
  <c r="AF174" i="22"/>
  <c r="E30" i="105" s="1"/>
  <c r="C30" i="105"/>
  <c r="C13" i="105"/>
  <c r="C14" i="105" s="1"/>
  <c r="AF176" i="22"/>
  <c r="E42" i="105" s="1"/>
  <c r="E43" i="105" s="1"/>
  <c r="H41" i="105" s="1"/>
  <c r="C42" i="105"/>
  <c r="C43" i="105" s="1"/>
  <c r="AF173" i="22"/>
  <c r="E22" i="105" s="1"/>
  <c r="C22" i="105"/>
  <c r="AF175" i="22"/>
  <c r="E31" i="105" s="1"/>
  <c r="C31" i="105"/>
  <c r="G166" i="36"/>
  <c r="G206" i="36" s="1"/>
  <c r="E206" i="36"/>
  <c r="E204" i="36"/>
  <c r="G164" i="36"/>
  <c r="G204" i="36" s="1"/>
  <c r="H166" i="36"/>
  <c r="H206" i="36" s="1"/>
  <c r="F206" i="36"/>
  <c r="H163" i="36"/>
  <c r="F203" i="36"/>
  <c r="F205" i="36"/>
  <c r="H165" i="36"/>
  <c r="H205" i="36" s="1"/>
  <c r="G163" i="36"/>
  <c r="G203" i="36" s="1"/>
  <c r="E203" i="36"/>
  <c r="H164" i="36"/>
  <c r="H204" i="36" s="1"/>
  <c r="F204" i="36"/>
  <c r="H167" i="36"/>
  <c r="H207" i="36" s="1"/>
  <c r="F207" i="36"/>
  <c r="H29" i="105" l="1"/>
  <c r="H30" i="105"/>
  <c r="G7" i="105" s="1"/>
  <c r="AD257" i="65"/>
  <c r="C23" i="105"/>
  <c r="E23" i="105"/>
  <c r="C32" i="105"/>
  <c r="E32" i="105"/>
  <c r="U258" i="67"/>
  <c r="H21" i="105" l="1"/>
  <c r="H22" i="105"/>
  <c r="G6" i="105" s="1"/>
  <c r="T172" i="22"/>
  <c r="AD172" i="22" s="1"/>
  <c r="D13" i="105" s="1"/>
  <c r="D14" i="105" s="1"/>
  <c r="H22" i="36"/>
  <c r="AB258" i="67"/>
  <c r="H31" i="36" s="1"/>
  <c r="H22" i="73"/>
  <c r="AB10" i="67"/>
  <c r="D183" i="36" l="1"/>
  <c r="D203" i="36" s="1"/>
  <c r="AF172" i="22"/>
  <c r="E13" i="105" s="1"/>
  <c r="E14" i="105" s="1"/>
  <c r="G5" i="105" s="1"/>
  <c r="H30" i="73"/>
  <c r="H183" i="36" l="1"/>
  <c r="H203" i="36" s="1"/>
  <c r="H12" i="105"/>
  <c r="H39" i="73"/>
  <c r="H34" i="73"/>
  <c r="H42" i="105" l="1"/>
  <c r="G8" i="105" s="1"/>
  <c r="F55" i="73" s="1" a="1"/>
  <c r="F55" i="73" s="1"/>
  <c r="J34" i="73"/>
  <c r="H49" i="73"/>
  <c r="H63" i="73"/>
  <c r="J63" i="73" s="1"/>
  <c r="H43" i="73"/>
  <c r="M6" i="64" l="1" a="1"/>
  <c r="M6" i="64" s="1"/>
  <c r="L5" i="68" a="1"/>
  <c r="L5" i="68" s="1"/>
  <c r="P5" i="65" a="1"/>
  <c r="P5" i="65" s="1"/>
  <c r="P6" i="69" a="1"/>
  <c r="P6" i="69" s="1"/>
  <c r="I5" i="63" a="1"/>
  <c r="I5" i="63" s="1"/>
  <c r="K5" i="67" a="1"/>
  <c r="K5" i="67" s="1"/>
  <c r="P3" i="65"/>
  <c r="L3" i="68"/>
  <c r="H53" i="73"/>
  <c r="M4" i="64"/>
  <c r="H12" i="36"/>
  <c r="K3" i="67"/>
  <c r="I3" i="63"/>
  <c r="P4" i="69"/>
  <c r="H16" i="36" l="1"/>
  <c r="M5" i="64"/>
  <c r="P4" i="65"/>
  <c r="I4" i="63"/>
  <c r="L4" i="68"/>
  <c r="P5" i="69"/>
  <c r="K4" i="6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<sst xmlns="http://schemas.openxmlformats.org/spreadsheetml/2006/main" count="7605" uniqueCount="1728">
  <si>
    <t>Project details</t>
  </si>
  <si>
    <t>Planning authority:</t>
  </si>
  <si>
    <t>Project name:</t>
  </si>
  <si>
    <t>Applicant:</t>
  </si>
  <si>
    <t>Application type:</t>
  </si>
  <si>
    <t>Planning application reference:</t>
  </si>
  <si>
    <t>Completed by:</t>
  </si>
  <si>
    <t>Date of metric completion:</t>
  </si>
  <si>
    <t>Reviewer:</t>
  </si>
  <si>
    <t>Version control:</t>
  </si>
  <si>
    <t>Consenting body reviewer:</t>
  </si>
  <si>
    <t>Date of consenting body review:</t>
  </si>
  <si>
    <t>Target % net gain:</t>
  </si>
  <si>
    <t>Irreplaceable habitat present on-site at baseline:</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</si>
  <si>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</si>
  <si>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</si>
  <si>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</si>
  <si>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</si>
  <si>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</si>
  <si>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</si>
  <si>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</si>
  <si>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</si>
  <si>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</si>
  <si>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</si>
  <si>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</si>
  <si>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</si>
  <si>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</si>
  <si>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</si>
  <si>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</si>
  <si>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</si>
  <si>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</si>
  <si>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</si>
  <si>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</si>
  <si>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</si>
  <si>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</si>
  <si>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</si>
  <si>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</si>
  <si>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</si>
  <si>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</si>
  <si>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Ancient/Veteran trees (No of trees):</t>
  </si>
  <si>
    <t>Trees retained:</t>
  </si>
  <si>
    <t>Trees enhanced:</t>
  </si>
  <si>
    <t>Trees lost:</t>
  </si>
  <si>
    <t>Total number of trees:</t>
  </si>
  <si>
    <t>Summary table</t>
  </si>
  <si>
    <t>Area habitats</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</si>
  <si>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</si>
  <si>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</si>
  <si>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</si>
  <si>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</si>
  <si>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</si>
  <si>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</si>
  <si>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Yes</t>
  </si>
  <si>
    <t>Hedgerows</t>
  </si>
  <si>
    <t>No</t>
  </si>
  <si>
    <t>Total irreplaceable hedgerow length (km)</t>
  </si>
  <si>
    <t>Total retained irreplaceable hedgerow length (km)</t>
  </si>
  <si>
    <t>Total enhanced irreplaceable hedgerow length (km)</t>
  </si>
  <si>
    <t>Total lost irreplaceable hedgerow length (km)</t>
  </si>
  <si>
    <t>Watercourses</t>
  </si>
  <si>
    <t>Total retained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</si>
  <si>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</si>
  <si>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</si>
  <si>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</si>
  <si>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</si>
  <si>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</si>
  <si>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</si>
  <si>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</si>
  <si>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</si>
  <si>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</si>
  <si>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</si>
  <si>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</si>
  <si>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</si>
  <si>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</si>
  <si>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</si>
  <si>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</si>
  <si>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</si>
  <si>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</si>
  <si>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</si>
  <si>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</si>
  <si>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</si>
  <si>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</si>
  <si>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</si>
  <si>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</si>
  <si>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</si>
  <si>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</si>
  <si>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</si>
  <si>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</si>
  <si>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</si>
  <si>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</si>
  <si>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</si>
  <si>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</si>
  <si>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</si>
  <si>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</si>
  <si>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</si>
  <si>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</si>
  <si>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</si>
  <si>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</si>
  <si>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</si>
  <si>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</si>
  <si>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</si>
  <si>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</si>
  <si>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</si>
  <si>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</si>
  <si>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</si>
  <si>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</si>
  <si>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</si>
  <si>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</si>
  <si>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</si>
  <si>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</si>
  <si>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</si>
  <si>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</si>
  <si>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</si>
  <si>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</si>
  <si>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</si>
  <si>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</si>
  <si>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</si>
  <si>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</si>
  <si>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</si>
  <si>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</si>
  <si>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</si>
  <si>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</si>
  <si>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</si>
  <si>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</si>
  <si>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</si>
  <si>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</si>
  <si>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</si>
  <si>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</si>
  <si>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</si>
  <si>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</si>
  <si>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</si>
  <si>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</si>
  <si>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</si>
  <si>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</si>
  <si>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</si>
  <si>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</si>
  <si>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</si>
  <si>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</si>
  <si>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</si>
  <si>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</si>
  <si>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</si>
  <si>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</si>
  <si>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</si>
  <si>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</si>
  <si>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</si>
  <si>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</si>
  <si>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</si>
  <si>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</si>
  <si>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</si>
  <si>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</si>
  <si>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</si>
  <si>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</si>
  <si>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</si>
  <si>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</si>
  <si>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</si>
  <si>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</si>
  <si>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</si>
  <si>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</si>
  <si>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</si>
  <si>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</si>
  <si>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</si>
  <si>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</si>
  <si>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</si>
  <si>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</si>
  <si>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</si>
  <si>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</si>
  <si>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</si>
  <si>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</si>
  <si>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</si>
  <si>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</si>
  <si>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</si>
  <si>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</si>
  <si>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</si>
  <si>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</si>
  <si>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</si>
  <si>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</si>
  <si>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</si>
  <si>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</si>
  <si>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</si>
  <si>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</si>
  <si>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</si>
  <si>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</si>
  <si>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</si>
  <si>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</si>
  <si>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</si>
  <si>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</si>
  <si>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</si>
  <si>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</si>
  <si>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</si>
  <si>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</si>
  <si>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</si>
  <si>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</si>
  <si>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</si>
  <si>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</si>
  <si>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</si>
  <si>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</si>
  <si>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</si>
  <si>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</si>
  <si>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</si>
  <si>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</si>
  <si>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</si>
  <si>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</si>
  <si>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</si>
  <si>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</si>
  <si>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</si>
  <si>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</si>
  <si>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Combined existing length</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</si>
  <si>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</si>
  <si>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</si>
  <si>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</si>
  <si>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</si>
  <si>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</si>
  <si>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</si>
  <si>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</si>
  <si>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</si>
  <si>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</si>
  <si>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</si>
  <si>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</si>
  <si>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</si>
  <si>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</si>
  <si>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</si>
  <si>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</si>
  <si>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</si>
  <si>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</si>
  <si>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</si>
  <si>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</si>
  <si>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</si>
  <si>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</si>
  <si>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</si>
  <si>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</si>
  <si>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</si>
  <si>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</si>
  <si>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</si>
  <si>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</si>
  <si>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</si>
  <si>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Broad Habitat Deficit to be offset by trading up</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</si>
  <si>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</si>
  <si>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</si>
  <si>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</si>
  <si>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</si>
  <si>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</si>
  <si>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</si>
  <si>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</si>
  <si>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</si>
  <si>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Units available from higher distinctiveness habitats</t>
  </si>
  <si>
    <t>Medium Distinctiveness net change in units</t>
  </si>
  <si>
    <t>Low/Very Low Distinctiveness</t>
  </si>
  <si>
    <t>Better distinctiveness habitat required</t>
  </si>
  <si>
    <t>Medium Distinctiveness Units available to offset Lower Distinctiveness Deficit</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</si>
  <si>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</si>
  <si>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</si>
  <si>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</si>
  <si>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</si>
  <si>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</si>
  <si>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</si>
  <si>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</si>
  <si>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</si>
  <si>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</si>
  <si>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</si>
  <si>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</si>
  <si>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</si>
  <si>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</si>
  <si>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</si>
  <si>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</si>
  <si>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</si>
  <si>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</si>
  <si>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</si>
  <si>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</si>
  <si>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</si>
  <si>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</si>
  <si>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</si>
  <si>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</si>
  <si>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</si>
  <si>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</si>
  <si>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</si>
  <si>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</si>
  <si>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</si>
  <si>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</si>
  <si>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</si>
  <si>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</si>
  <si>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</si>
  <si>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</si>
  <si>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</si>
  <si>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</si>
  <si>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</si>
  <si>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</si>
  <si>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</si>
  <si>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</si>
  <si>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</si>
  <si>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</si>
  <si>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</si>
  <si>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</si>
  <si>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</si>
  <si>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</si>
  <si>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</si>
  <si>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</si>
  <si>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</si>
  <si>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</si>
  <si>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</si>
  <si>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</si>
  <si>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Retained</t>
  </si>
  <si>
    <t>Enhanced</t>
  </si>
  <si>
    <t>Succession</t>
  </si>
  <si>
    <t>line number</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</si>
  <si>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</si>
  <si>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</si>
  <si>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</si>
  <si>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</si>
  <si>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</si>
  <si>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</si>
  <si>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</si>
  <si>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</si>
  <si>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</si>
  <si>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</si>
  <si>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</si>
  <si>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</si>
  <si>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</si>
  <si>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</si>
  <si>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</si>
  <si>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</si>
  <si>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</si>
  <si>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</si>
  <si>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</si>
  <si>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</si>
  <si>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</si>
  <si>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</si>
  <si>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</si>
  <si>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</si>
  <si>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Poor</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</si>
  <si>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</si>
  <si>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</si>
  <si>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</si>
  <si>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</si>
  <si>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</si>
  <si>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</si>
  <si>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</si>
  <si>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</si>
  <si>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</si>
  <si>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</si>
  <si>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</si>
  <si>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</si>
  <si>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</si>
  <si>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</si>
  <si>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</si>
  <si>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</si>
  <si>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</si>
  <si>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</si>
  <si>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</si>
  <si>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</si>
  <si>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</si>
  <si>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</si>
  <si>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</si>
  <si>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</si>
  <si>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</si>
  <si>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</si>
  <si>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</si>
  <si>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</si>
  <si>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</si>
  <si>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</si>
  <si>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</si>
  <si>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</si>
  <si>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</si>
  <si>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</si>
  <si>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</si>
  <si>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</si>
  <si>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</si>
  <si>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</si>
  <si>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</si>
  <si>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</si>
  <si>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</si>
  <si>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</si>
  <si>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</si>
  <si>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</si>
  <si>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</si>
  <si>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</si>
  <si>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</si>
  <si>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</si>
  <si>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</si>
  <si>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</si>
  <si>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</si>
  <si>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</si>
  <si>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</si>
  <si>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</si>
  <si>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</si>
  <si>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</si>
  <si>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</si>
  <si>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</si>
  <si>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</si>
  <si>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</si>
  <si>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Proposed habitats</t>
  </si>
  <si>
    <t>Hedge units delivered</t>
  </si>
  <si>
    <t>New hedge number</t>
  </si>
  <si>
    <t>Standard Time to target condition (years)</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</si>
  <si>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</si>
  <si>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</si>
  <si>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</si>
  <si>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</si>
  <si>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</si>
  <si>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</si>
  <si>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</si>
  <si>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</si>
  <si>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</si>
  <si>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</si>
  <si>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</si>
  <si>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</si>
  <si>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</si>
  <si>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</si>
  <si>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</si>
  <si>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</si>
  <si>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</si>
  <si>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</si>
  <si>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</si>
  <si>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</si>
  <si>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</si>
  <si>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</si>
  <si>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</si>
  <si>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</si>
  <si>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</si>
  <si>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</si>
  <si>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</si>
  <si>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</si>
  <si>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</si>
  <si>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</si>
  <si>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</si>
  <si>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</si>
  <si>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</si>
  <si>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</si>
  <si>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</si>
  <si>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</si>
  <si>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</si>
  <si>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</si>
  <si>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</si>
  <si>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</si>
  <si>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</si>
  <si>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</si>
  <si>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</si>
  <si>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</si>
  <si>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</si>
  <si>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</si>
  <si>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</si>
  <si>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</si>
  <si>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</si>
  <si>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</si>
  <si>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</si>
  <si>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</si>
  <si>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</si>
  <si>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</si>
  <si>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</si>
  <si>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</si>
  <si>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</si>
  <si>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</si>
  <si>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</si>
  <si>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</si>
  <si>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</si>
  <si>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</si>
  <si>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</si>
  <si>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</si>
  <si>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</si>
  <si>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</si>
  <si>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</si>
  <si>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</si>
  <si>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</si>
  <si>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</si>
  <si>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</si>
  <si>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</si>
  <si>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</si>
  <si>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</si>
  <si>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</si>
  <si>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</si>
  <si>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</si>
  <si>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</si>
  <si>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</si>
  <si>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Fairly Good</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</si>
  <si>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</si>
  <si>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</si>
  <si>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</si>
  <si>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</si>
  <si>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</si>
  <si>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</si>
  <si>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</si>
  <si>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</si>
  <si>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</si>
  <si>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</si>
  <si>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Cereal crops</t>
  </si>
  <si>
    <t>Cropland - Cereal crops</t>
  </si>
  <si>
    <t>c1c</t>
  </si>
  <si>
    <t>V.Low</t>
  </si>
  <si>
    <t>Compensation Not Required</t>
  </si>
  <si>
    <t>Sparsely_vegetated_land</t>
  </si>
  <si>
    <t>Winter stubble</t>
  </si>
  <si>
    <t>Cropland - Winter stubble</t>
  </si>
  <si>
    <t>c1c5</t>
  </si>
  <si>
    <t>Condition Assessment N/A</t>
  </si>
  <si>
    <t>Horticulture</t>
  </si>
  <si>
    <t>Cropland - Horticulture</t>
  </si>
  <si>
    <t>c1f</t>
  </si>
  <si>
    <t>N/A - Other</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</si>
  <si>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</si>
  <si>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</si>
  <si>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</si>
  <si>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</si>
  <si>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</si>
  <si>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</si>
  <si>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</si>
  <si>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</si>
  <si>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</si>
  <si>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</si>
  <si>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</si>
  <si>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Traditional orchards</t>
  </si>
  <si>
    <t>Grassland - Traditional orchards</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</si>
  <si>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</si>
  <si>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</si>
  <si>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</si>
  <si>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</si>
  <si>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</si>
  <si>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</si>
  <si>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</si>
  <si>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</si>
  <si>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</si>
  <si>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</si>
  <si>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</si>
  <si>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</si>
  <si>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</si>
  <si>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</si>
  <si>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</si>
  <si>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</si>
  <si>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</si>
  <si>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</si>
  <si>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</si>
  <si>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</si>
  <si>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</si>
  <si>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</si>
  <si>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</si>
  <si>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</si>
  <si>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</si>
  <si>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</si>
  <si>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</si>
  <si>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Modified grassland</t>
  </si>
  <si>
    <t>Grassland - Modified grassland</t>
  </si>
  <si>
    <t>g4</t>
  </si>
  <si>
    <t>Carried forward</t>
  </si>
  <si>
    <t>Other lowland acid grassland</t>
  </si>
  <si>
    <t>Grassland - Other lowland acid grassland</t>
  </si>
  <si>
    <t>g1d</t>
  </si>
  <si>
    <t>Other neutral grassland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</si>
  <si>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</si>
  <si>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</si>
  <si>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</si>
  <si>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</si>
  <si>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</si>
  <si>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</si>
  <si>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</si>
  <si>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</si>
  <si>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</si>
  <si>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</si>
  <si>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</si>
  <si>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</si>
  <si>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</si>
  <si>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</si>
  <si>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</si>
  <si>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</si>
  <si>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</si>
  <si>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</si>
  <si>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</si>
  <si>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</si>
  <si>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</si>
  <si>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</si>
  <si>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Bramble scrub</t>
  </si>
  <si>
    <t>Heathland and shrub - Bramble scrub</t>
  </si>
  <si>
    <t>h3d</t>
  </si>
  <si>
    <t>Gorse scrub</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</si>
  <si>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</si>
  <si>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</si>
  <si>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</si>
  <si>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</si>
  <si>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</si>
  <si>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</si>
  <si>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</si>
  <si>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</si>
  <si>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</si>
  <si>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</si>
  <si>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</si>
  <si>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</si>
  <si>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</si>
  <si>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</si>
  <si>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</si>
  <si>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Mixed scrub</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</si>
  <si>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</si>
  <si>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</si>
  <si>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</si>
  <si>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</si>
  <si>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</si>
  <si>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</si>
  <si>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</si>
  <si>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</si>
  <si>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</si>
  <si>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</si>
  <si>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</si>
  <si>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</si>
  <si>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</si>
  <si>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</si>
  <si>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</si>
  <si>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</si>
  <si>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</si>
  <si>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</si>
  <si>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</si>
  <si>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</si>
  <si>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</si>
  <si>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</si>
  <si>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</si>
  <si>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</si>
  <si>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</si>
  <si>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</si>
  <si>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</si>
  <si>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</si>
  <si>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</si>
  <si>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</si>
  <si>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</si>
  <si>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</si>
  <si>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</si>
  <si>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</si>
  <si>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</si>
  <si>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</si>
  <si>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</si>
  <si>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</si>
  <si>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</si>
  <si>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</si>
  <si>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</si>
  <si>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</si>
  <si>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</si>
  <si>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</si>
  <si>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</si>
  <si>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</si>
  <si>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</si>
  <si>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</si>
  <si>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Ponds (priority habitat)</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</si>
  <si>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</si>
  <si>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</si>
  <si>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</si>
  <si>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</si>
  <si>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</si>
  <si>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</si>
  <si>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</si>
  <si>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</si>
  <si>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</si>
  <si>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</si>
  <si>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</si>
  <si>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</si>
  <si>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</si>
  <si>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</si>
  <si>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</si>
  <si>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</si>
  <si>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</si>
  <si>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</si>
  <si>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</si>
  <si>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</si>
  <si>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</si>
  <si>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</si>
  <si>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</si>
  <si>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</si>
  <si>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</si>
  <si>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</si>
  <si>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</si>
  <si>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Tall forbs</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</si>
  <si>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</si>
  <si>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</si>
  <si>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</si>
  <si>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</si>
  <si>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</si>
  <si>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</si>
  <si>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</si>
  <si>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</si>
  <si>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</si>
  <si>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</si>
  <si>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</si>
  <si>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</si>
  <si>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</si>
  <si>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</si>
  <si>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</si>
  <si>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</si>
  <si>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</si>
  <si>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Allotments</t>
  </si>
  <si>
    <t>Urban - Allotments</t>
  </si>
  <si>
    <t>Artificial unvegetated, unsealed surface</t>
  </si>
  <si>
    <t>Urban - Artificial unvegetated, unsealed surface</t>
  </si>
  <si>
    <t>u1c</t>
  </si>
  <si>
    <t>Bioswale</t>
  </si>
  <si>
    <t>Urban - Bioswale</t>
  </si>
  <si>
    <t>Intensive green roof</t>
  </si>
  <si>
    <t>Urban - Intensive green roof</t>
  </si>
  <si>
    <t>NE0008</t>
  </si>
  <si>
    <t>Built linear features</t>
  </si>
  <si>
    <t>Urban - Built linear features</t>
  </si>
  <si>
    <t>u1e</t>
  </si>
  <si>
    <t>Cemeteries and churchyards</t>
  </si>
  <si>
    <t>Urban - Cemeteries and churchyards</t>
  </si>
  <si>
    <t>Developed land; sealed surface</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</si>
  <si>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</si>
  <si>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</si>
  <si>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</si>
  <si>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</si>
  <si>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</si>
  <si>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</si>
  <si>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</si>
  <si>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</si>
  <si>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</si>
  <si>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</si>
  <si>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</si>
  <si>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</si>
  <si>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</si>
  <si>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</si>
  <si>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</si>
  <si>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Introduced shrub</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</si>
  <si>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</si>
  <si>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</si>
  <si>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</si>
  <si>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</si>
  <si>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</si>
  <si>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</si>
  <si>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</si>
  <si>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</si>
  <si>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</si>
  <si>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</si>
  <si>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</si>
  <si>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</si>
  <si>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Sustainable drainage system</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</si>
  <si>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</si>
  <si>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</si>
  <si>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</si>
  <si>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</si>
  <si>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</si>
  <si>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</si>
  <si>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</si>
  <si>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</si>
  <si>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</si>
  <si>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</si>
  <si>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</si>
  <si>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Vegetated garden</t>
  </si>
  <si>
    <t>Urban - Vegetated garden</t>
  </si>
  <si>
    <t>Urban tree</t>
  </si>
  <si>
    <t>Individual trees - Urban tree</t>
  </si>
  <si>
    <t>NE0014</t>
  </si>
  <si>
    <t>Street Tree</t>
  </si>
  <si>
    <t>Rural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</si>
  <si>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</si>
  <si>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</si>
  <si>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</si>
  <si>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</si>
  <si>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</si>
  <si>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</si>
  <si>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</si>
  <si>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</si>
  <si>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</si>
  <si>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</si>
  <si>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</si>
  <si>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</si>
  <si>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</si>
  <si>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</si>
  <si>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</si>
  <si>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</si>
  <si>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</si>
  <si>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</si>
  <si>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</si>
  <si>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</si>
  <si>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</si>
  <si>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</si>
  <si>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</si>
  <si>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</si>
  <si>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</si>
  <si>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</si>
  <si>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</si>
  <si>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</si>
  <si>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Reedbeds</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</si>
  <si>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</si>
  <si>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</si>
  <si>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</si>
  <si>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</si>
  <si>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</si>
  <si>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</si>
  <si>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</si>
  <si>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</si>
  <si>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</si>
  <si>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</si>
  <si>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</si>
  <si>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</si>
  <si>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Lowland mixed deciduous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</si>
  <si>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</si>
  <si>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</si>
  <si>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</si>
  <si>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</si>
  <si>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</si>
  <si>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</si>
  <si>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</si>
  <si>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</si>
  <si>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</si>
  <si>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</si>
  <si>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</si>
  <si>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</si>
  <si>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</si>
  <si>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</si>
  <si>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</si>
  <si>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</si>
  <si>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</si>
  <si>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Other woodland; mixed</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</si>
  <si>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</si>
  <si>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</si>
  <si>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</si>
  <si>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</si>
  <si>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</si>
  <si>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</si>
  <si>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</si>
  <si>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</si>
  <si>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</si>
  <si>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</si>
  <si>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</si>
  <si>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</si>
  <si>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</si>
  <si>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</si>
  <si>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</si>
  <si>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</si>
  <si>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</si>
  <si>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</si>
  <si>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</si>
  <si>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</si>
  <si>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</si>
  <si>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</si>
  <si>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</si>
  <si>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</si>
  <si>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</si>
  <si>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</si>
  <si>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</si>
  <si>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</si>
  <si>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</si>
  <si>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</si>
  <si>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</si>
  <si>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</si>
  <si>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</si>
  <si>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</si>
  <si>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</si>
  <si>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</si>
  <si>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</si>
  <si>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</si>
  <si>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</si>
  <si>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</si>
  <si>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</si>
  <si>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</si>
  <si>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</si>
  <si>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</si>
  <si>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</si>
  <si>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</si>
  <si>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</si>
  <si>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</si>
  <si>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</si>
  <si>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</si>
  <si>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</si>
  <si>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</si>
  <si>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</si>
  <si>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</si>
  <si>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</si>
  <si>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</si>
  <si>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</si>
  <si>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</si>
  <si>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</si>
  <si>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</si>
  <si>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</si>
  <si>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</si>
  <si>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</si>
  <si>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</si>
  <si>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</si>
  <si>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</si>
  <si>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</si>
  <si>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</si>
  <si>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</si>
  <si>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</si>
  <si>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</si>
  <si>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</si>
  <si>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</si>
  <si>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</si>
  <si>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</si>
  <si>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</si>
  <si>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</si>
  <si>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</si>
  <si>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</si>
  <si>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</si>
  <si>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</si>
  <si>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</si>
  <si>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</si>
  <si>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</si>
  <si>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</si>
  <si>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</si>
  <si>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</si>
  <si>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</si>
  <si>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</si>
  <si>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</si>
  <si>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</si>
  <si>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</si>
  <si>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</si>
  <si>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</si>
  <si>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</si>
  <si>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</si>
  <si>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</si>
  <si>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</si>
  <si>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</si>
  <si>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</si>
  <si>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</si>
  <si>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</si>
  <si>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</si>
  <si>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</si>
  <si>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</si>
  <si>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</si>
  <si>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</si>
  <si>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</si>
  <si>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</si>
  <si>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</si>
  <si>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</si>
  <si>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</si>
  <si>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</si>
  <si>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</si>
  <si>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</si>
  <si>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</si>
  <si>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</si>
  <si>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</si>
  <si>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</si>
  <si>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</si>
  <si>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</si>
  <si>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</si>
  <si>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</si>
  <si>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</si>
  <si>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</si>
  <si>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</si>
  <si>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</si>
  <si>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</si>
  <si>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</si>
  <si>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</si>
  <si>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</si>
  <si>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</si>
  <si>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</si>
  <si>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</si>
  <si>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</si>
  <si>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</si>
  <si>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</si>
  <si>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</si>
  <si>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</si>
  <si>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</si>
  <si>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</si>
  <si>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</si>
  <si>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</si>
  <si>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</si>
  <si>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</si>
  <si>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</si>
  <si>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</si>
  <si>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</si>
  <si>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</si>
  <si>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</si>
  <si>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</si>
  <si>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</si>
  <si>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</si>
  <si>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</si>
  <si>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</si>
  <si>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</si>
  <si>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</si>
  <si>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</si>
  <si>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</si>
  <si>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</si>
  <si>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</si>
  <si>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</si>
  <si>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</si>
  <si>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</si>
  <si>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</si>
  <si>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</si>
  <si>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</si>
  <si>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</si>
  <si>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</si>
  <si>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</si>
  <si>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</si>
  <si>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</si>
  <si>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</si>
  <si>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</si>
  <si>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</si>
  <si>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</si>
  <si>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</si>
  <si>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</si>
  <si>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</si>
  <si>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</si>
  <si>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</si>
  <si>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</si>
  <si>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</si>
  <si>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</si>
  <si>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</si>
  <si>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</si>
  <si>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</si>
  <si>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</si>
  <si>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</si>
  <si>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</si>
  <si>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</si>
  <si>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</si>
  <si>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</si>
  <si>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</si>
  <si>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</si>
  <si>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</si>
  <si>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</si>
  <si>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</si>
  <si>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</si>
  <si>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</si>
  <si>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</si>
  <si>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</si>
  <si>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</si>
  <si>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</si>
  <si>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</si>
  <si>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</si>
  <si>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</si>
  <si>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</si>
  <si>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</si>
  <si>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</si>
  <si>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</si>
  <si>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</si>
  <si>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</si>
  <si>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</si>
  <si>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</si>
  <si>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</si>
  <si>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</si>
  <si>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</si>
  <si>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</si>
  <si>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</si>
  <si>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</si>
  <si>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</si>
  <si>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Formally identified in local strategy</t>
  </si>
  <si>
    <t xml:space="preserve">High strategic significance </t>
  </si>
  <si>
    <t xml:space="preserve">Compensation inside LPA boundary or NCA of impact site </t>
  </si>
  <si>
    <t>Moderately connected habitat</t>
  </si>
  <si>
    <t>Location ecologically desirable but not in local strategy</t>
  </si>
  <si>
    <t xml:space="preserve">Medium strategic significance </t>
  </si>
  <si>
    <t xml:space="preserve">Compensation outside LPA or NCA of impact site, but in neighbouring LPA or NCA </t>
  </si>
  <si>
    <t>Unconnected habitat</t>
  </si>
  <si>
    <t>Area/compensation not in local strategy/ no local strategy</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</si>
  <si>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</si>
  <si>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</si>
  <si>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</si>
  <si>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</si>
  <si>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</si>
  <si>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</si>
  <si>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</si>
  <si>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</si>
  <si>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</si>
  <si>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</si>
  <si>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</si>
  <si>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</si>
  <si>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</si>
  <si>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</si>
  <si>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</si>
  <si>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</si>
  <si>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</si>
  <si>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</si>
  <si>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</si>
  <si>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</si>
  <si>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</si>
  <si>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</si>
  <si>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</si>
  <si>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</si>
  <si>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</si>
  <si>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</si>
  <si>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</si>
  <si>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</si>
  <si>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</si>
  <si>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</si>
  <si>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</si>
  <si>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</si>
  <si>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</si>
  <si>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</si>
  <si>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</si>
  <si>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</si>
  <si>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</si>
  <si>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</si>
  <si>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</si>
  <si>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</si>
  <si>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</si>
  <si>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</si>
  <si>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</si>
  <si>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</si>
  <si>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</si>
  <si>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</si>
  <si>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</si>
  <si>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</si>
  <si>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</si>
  <si>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</si>
  <si>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</si>
  <si>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</si>
  <si>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</si>
  <si>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</si>
  <si>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</si>
  <si>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</si>
  <si>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</si>
  <si>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</si>
  <si>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</si>
  <si>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</si>
  <si>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</si>
  <si>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</si>
  <si>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</si>
  <si>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</si>
  <si>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</si>
  <si>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</si>
  <si>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</si>
  <si>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</si>
  <si>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</si>
  <si>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</si>
  <si>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</si>
  <si>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</si>
  <si>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</si>
  <si>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</si>
  <si>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</si>
  <si>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</si>
  <si>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</si>
  <si>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</si>
  <si>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</si>
  <si>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</si>
  <si>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</si>
  <si>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</si>
  <si>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</si>
  <si>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</si>
  <si>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</si>
  <si>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</si>
  <si>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</si>
  <si>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</si>
  <si>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No Encroachment</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</si>
  <si>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</si>
  <si>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</si>
  <si>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</si>
  <si>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</si>
  <si>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</si>
  <si>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</si>
  <si>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</si>
  <si>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</si>
  <si>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</si>
  <si>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</si>
  <si>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</si>
  <si>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</si>
  <si>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</si>
  <si>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</si>
  <si>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</si>
  <si>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</si>
  <si>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</si>
  <si>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</si>
  <si>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</si>
  <si>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</si>
  <si>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</si>
  <si>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</si>
  <si>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</si>
  <si>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</si>
  <si>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</si>
  <si>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</si>
  <si>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No Encroachment/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</si>
  <si>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</si>
  <si>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</si>
  <si>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</si>
  <si>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</si>
  <si>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</si>
  <si>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</si>
  <si>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</si>
  <si>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</si>
  <si>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</si>
  <si>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</si>
  <si>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</si>
  <si>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</si>
  <si>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</si>
  <si>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</si>
  <si>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</si>
  <si>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</si>
  <si>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</si>
  <si>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</si>
  <si>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</si>
  <si>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</si>
  <si>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</si>
  <si>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</si>
  <si>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</si>
  <si>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</si>
  <si>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</si>
  <si>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</si>
  <si>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</si>
  <si>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</si>
  <si>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</si>
  <si>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</si>
  <si>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</si>
  <si>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</si>
  <si>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</si>
  <si>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</si>
  <si>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</si>
  <si>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</si>
  <si>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</si>
  <si>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</si>
  <si>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</si>
  <si>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</si>
  <si>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</si>
  <si>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</si>
  <si>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</si>
  <si>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</si>
  <si>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</si>
  <si>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</si>
  <si>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</si>
  <si>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</si>
  <si>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</si>
  <si>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</si>
  <si>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</si>
  <si>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</si>
  <si>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</si>
  <si>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</si>
  <si>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</si>
  <si>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</si>
  <si>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</si>
  <si>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</si>
  <si>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</si>
  <si>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</si>
  <si>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</si>
  <si>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</si>
  <si>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</si>
  <si>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</si>
  <si>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</si>
  <si>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</si>
  <si>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</si>
  <si>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</si>
  <si>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</si>
  <si>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</si>
  <si>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</si>
  <si>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</si>
  <si>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</si>
  <si>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</si>
  <si>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</si>
  <si>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</si>
  <si>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</si>
  <si>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</si>
  <si>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</si>
  <si>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</si>
  <si>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</si>
  <si>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</si>
  <si>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</si>
  <si>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</si>
  <si>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</si>
  <si>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</si>
  <si>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</si>
  <si>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</si>
  <si>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</si>
  <si>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</si>
  <si>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</si>
  <si>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</si>
  <si>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</si>
  <si>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</si>
  <si>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</si>
  <si>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</si>
  <si>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</si>
  <si>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</si>
  <si>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</si>
  <si>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</si>
  <si>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</si>
  <si>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</si>
  <si>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</si>
  <si>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</si>
  <si>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</si>
  <si>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</si>
  <si>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</si>
  <si>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</si>
  <si>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</si>
  <si>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</si>
  <si>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</si>
  <si>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</si>
  <si>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</si>
  <si>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</si>
  <si>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</si>
  <si>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</si>
  <si>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</si>
  <si>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</si>
  <si>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</si>
  <si>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</si>
  <si>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</si>
  <si>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</si>
  <si>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</si>
  <si>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</si>
  <si>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</si>
  <si>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</si>
  <si>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</si>
  <si>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</si>
  <si>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</si>
  <si>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</si>
  <si>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</si>
  <si>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</si>
  <si>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</si>
  <si>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</si>
  <si>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</si>
  <si>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</si>
  <si>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</si>
  <si>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</si>
  <si>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</si>
  <si>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</si>
  <si>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</si>
  <si>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</si>
  <si>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</si>
  <si>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</si>
  <si>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</si>
  <si>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</si>
  <si>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</si>
  <si>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</si>
  <si>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</si>
  <si>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</si>
  <si>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</si>
  <si>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</si>
  <si>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</si>
  <si>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</si>
  <si>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</si>
  <si>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</si>
  <si>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</si>
  <si>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</si>
  <si>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</si>
  <si>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</si>
  <si>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</si>
  <si>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</si>
  <si>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</si>
  <si>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</si>
  <si>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</si>
  <si>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</si>
  <si>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</si>
  <si>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</si>
  <si>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</si>
  <si>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</si>
  <si>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</si>
  <si>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</si>
  <si>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</si>
  <si>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</si>
  <si>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</si>
  <si>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</si>
  <si>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</si>
  <si>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</si>
  <si>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</si>
  <si>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</si>
  <si>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</si>
  <si>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</si>
  <si>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</si>
  <si>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</si>
  <si>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</si>
  <si>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</si>
  <si>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</si>
  <si>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</si>
  <si>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</si>
  <si>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</si>
  <si>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</si>
  <si>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</si>
  <si>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</si>
  <si>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</si>
  <si>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</si>
  <si>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</si>
  <si>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</si>
  <si>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</si>
  <si>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</si>
  <si>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</si>
  <si>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</si>
  <si>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</si>
  <si>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</si>
  <si>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</si>
  <si>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</si>
  <si>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</si>
  <si>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</si>
  <si>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</si>
  <si>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</si>
  <si>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</si>
  <si>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</si>
  <si>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</si>
  <si>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</si>
  <si>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</si>
  <si>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</si>
  <si>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</si>
  <si>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</si>
  <si>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</si>
  <si>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</si>
  <si>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</si>
  <si>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</si>
  <si>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</si>
  <si>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</si>
  <si>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</si>
  <si>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</si>
  <si>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</si>
  <si>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</si>
  <si>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</si>
  <si>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</si>
  <si>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</si>
  <si>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</si>
  <si>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</si>
  <si>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</si>
  <si>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</si>
  <si>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</si>
  <si>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</si>
  <si>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</si>
  <si>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</si>
  <si>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</si>
  <si>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</si>
  <si>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</si>
  <si>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</si>
  <si>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</si>
  <si>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</si>
  <si>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</si>
  <si>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</si>
  <si>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</si>
  <si>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</si>
  <si>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</si>
  <si>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</si>
  <si>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</si>
  <si>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</si>
  <si>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</si>
  <si>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</si>
  <si>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</si>
  <si>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</si>
  <si>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</si>
  <si>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</si>
  <si>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</si>
  <si>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</si>
  <si>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</si>
  <si>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</si>
  <si>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</si>
  <si>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</si>
  <si>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</si>
  <si>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</si>
  <si>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</si>
  <si>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</si>
  <si>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</si>
  <si>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</si>
  <si>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</si>
  <si>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</si>
  <si>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</si>
  <si>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</si>
  <si>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</si>
  <si>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</si>
  <si>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</si>
  <si>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</si>
  <si>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</si>
  <si>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</si>
  <si>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</si>
  <si>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</si>
  <si>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</si>
  <si>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</si>
  <si>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</si>
  <si>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</si>
  <si>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</si>
  <si>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</si>
  <si>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</si>
  <si>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</si>
  <si>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</si>
  <si>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</si>
  <si>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</si>
  <si>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</si>
  <si>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</si>
  <si>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</si>
  <si>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</si>
  <si>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</si>
  <si>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</si>
  <si>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</si>
  <si>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</si>
  <si>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</si>
  <si>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</si>
  <si>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</si>
  <si>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</si>
  <si>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</si>
  <si>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</si>
  <si>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</si>
  <si>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</si>
  <si>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</si>
  <si>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</si>
  <si>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</si>
  <si>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</si>
  <si>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</si>
  <si>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</si>
  <si>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</si>
  <si>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</si>
  <si>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</si>
  <si>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</si>
  <si>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</si>
  <si>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</si>
  <si>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</si>
  <si>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</si>
  <si>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</si>
  <si>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</si>
  <si>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</si>
  <si>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</si>
  <si>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</si>
  <si>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</si>
  <si>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</si>
  <si>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</si>
  <si>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</si>
  <si>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</si>
  <si>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</si>
  <si>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</si>
  <si>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</si>
  <si>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</si>
  <si>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</si>
  <si>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</si>
  <si>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</si>
  <si>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</si>
  <si>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</si>
  <si>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</si>
  <si>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</si>
  <si>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</si>
  <si>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</si>
  <si>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</si>
  <si>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</si>
  <si>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</si>
  <si>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</si>
  <si>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</si>
  <si>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</si>
  <si>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</si>
  <si>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</si>
  <si>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</si>
  <si>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</si>
  <si>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</si>
  <si>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</si>
  <si>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</si>
  <si>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</si>
  <si>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</si>
  <si>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</si>
  <si>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</si>
  <si>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</si>
  <si>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</si>
  <si>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</si>
  <si>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</si>
  <si>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</si>
  <si>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</si>
  <si>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</si>
  <si>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</si>
  <si>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</si>
  <si>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</si>
  <si>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</si>
  <si>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</si>
  <si>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</si>
  <si>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</si>
  <si>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</si>
  <si>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</si>
  <si>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</si>
  <si>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</si>
  <si>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</si>
  <si>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</si>
  <si>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</si>
  <si>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</si>
  <si>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</si>
  <si>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</si>
  <si>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</si>
  <si>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</si>
  <si>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</si>
  <si>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</si>
  <si>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</si>
  <si>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</si>
  <si>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</si>
  <si>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</si>
  <si>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</si>
  <si>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</si>
  <si>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</si>
  <si>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</si>
  <si>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</si>
  <si>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</si>
  <si>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</si>
  <si>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</si>
  <si>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</si>
  <si>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</si>
  <si>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</si>
  <si>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</si>
  <si>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</si>
  <si>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</si>
  <si>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</si>
  <si>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</si>
  <si>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</si>
  <si>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</si>
  <si>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</si>
  <si>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</si>
  <si>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</si>
  <si>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</si>
  <si>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</si>
  <si>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</si>
  <si>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</si>
  <si>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</si>
  <si>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</si>
  <si>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</si>
  <si>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</si>
  <si>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</si>
  <si>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</si>
  <si>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</si>
  <si>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</si>
  <si>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</si>
  <si>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</si>
  <si>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</si>
  <si>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</si>
  <si>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</si>
  <si>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</si>
  <si>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</si>
  <si>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</si>
  <si>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</si>
  <si>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</si>
  <si>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</si>
  <si>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</si>
  <si>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</si>
  <si>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</si>
  <si>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</si>
  <si>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</si>
  <si>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</si>
  <si>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</si>
  <si>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</si>
  <si>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</si>
  <si>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</si>
  <si>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</si>
  <si>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</si>
  <si>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</si>
  <si>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</si>
  <si>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</si>
  <si>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</si>
  <si>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</si>
  <si>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</si>
  <si>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</si>
  <si>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</si>
  <si>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</si>
  <si>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</si>
  <si>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</si>
  <si>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</si>
  <si>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</si>
  <si>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</si>
  <si>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</si>
  <si>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</si>
  <si>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</si>
  <si>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</si>
  <si>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</si>
  <si>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</si>
  <si>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</si>
  <si>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</si>
  <si>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</si>
  <si>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</si>
  <si>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</si>
  <si>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</si>
  <si>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</si>
  <si>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</si>
  <si>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</si>
  <si>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</si>
  <si>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</si>
  <si>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</si>
  <si>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</si>
  <si>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</si>
  <si>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</si>
  <si>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</si>
  <si>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</si>
  <si>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</si>
  <si>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</si>
  <si>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</si>
  <si>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</si>
  <si>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</si>
  <si>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</si>
  <si>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</si>
  <si>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</si>
  <si>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</si>
  <si>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</si>
  <si>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</si>
  <si>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</si>
  <si>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</si>
  <si>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</si>
  <si>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</si>
  <si>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</si>
  <si>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</si>
  <si>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</si>
  <si>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</si>
  <si>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</si>
  <si>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</si>
  <si>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</si>
  <si>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</si>
  <si>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</si>
  <si>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</si>
  <si>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</si>
  <si>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</si>
  <si>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</si>
  <si>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</si>
  <si>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</si>
  <si>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</si>
  <si>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</si>
  <si>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</si>
  <si>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</si>
  <si>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Baseline units retained (srm)</t>
  </si>
  <si>
    <t>Cumulative availability of units</t>
  </si>
  <si>
    <t>Area Check (excluding individual trees and green walls)</t>
  </si>
  <si>
    <t>Has bespoke compensation been agreed with the relevant consenting body?</t>
  </si>
  <si>
    <t>Total irreplaceable watercourse length (km)</t>
  </si>
  <si>
    <t>Total enhanced irreplaceable watercourse length (km)</t>
  </si>
  <si>
    <t>Applied  difficulty multiplier</t>
  </si>
  <si>
    <t>Higher Distinctiveness Surplus Units minus Medium Distinctiveness Broad Habitat Deficit</t>
  </si>
  <si>
    <t xml:space="preserve">High Distinctivness Deficit to be offset by trading up </t>
  </si>
  <si>
    <t>Higher Distinctiveness surplus units minus any high distinctivness deficit</t>
  </si>
  <si>
    <t>Rocky_shore</t>
  </si>
  <si>
    <t>Coastal_saltmarsh</t>
  </si>
  <si>
    <t>Ancient Veteran trees</t>
  </si>
  <si>
    <t xml:space="preserve">2x Ancient and 2x veteran trees present wtihin the site. All retained with suitable root protection zones as identified within the Tree Constriants Plan. As per user guide (para 8.3.3) cannot be input into metric elsewhere. </t>
  </si>
  <si>
    <t>G3</t>
  </si>
  <si>
    <t>G2</t>
  </si>
  <si>
    <t>G1</t>
  </si>
  <si>
    <t>Fails essential criteria 1</t>
  </si>
  <si>
    <t>G4</t>
  </si>
  <si>
    <t>S1</t>
  </si>
  <si>
    <t>U4</t>
  </si>
  <si>
    <t>U3</t>
  </si>
  <si>
    <t>U2</t>
  </si>
  <si>
    <t>U1</t>
  </si>
  <si>
    <t>Church Road - existing road. Condition assessment N/A</t>
  </si>
  <si>
    <t>Existing access track through fields. Condition assessment N/A</t>
  </si>
  <si>
    <t>Farm Yard. Condition assessment N/A</t>
  </si>
  <si>
    <t>Exisitng access track. Condition assessment N/A</t>
  </si>
  <si>
    <t>U5</t>
  </si>
  <si>
    <t>A3</t>
  </si>
  <si>
    <t xml:space="preserve">Brassica crop. Condition assessment N/A </t>
  </si>
  <si>
    <t xml:space="preserve">Condition assessment N/A. 
Area present for cable installation/ subject to horizontal directional drilling so no direct impacts anticipated. </t>
  </si>
  <si>
    <t xml:space="preserve">Condition assessment N/A.
Arable crop east of rail corridor. Part reinstated following minor cabling works and counted as retained in line with guidance on temporary impacts.  </t>
  </si>
  <si>
    <t>Railway corridor. Condition Assessment N/A
Subject to directional drilling with no above ground impacts</t>
  </si>
  <si>
    <t>Fails criteria 3 &amp; 4</t>
  </si>
  <si>
    <t>Fails criteria 1,2  &amp; 4</t>
  </si>
  <si>
    <t xml:space="preserve">Area of grassland adjacent to planned HDD route. Will be retained throughout construction and operation </t>
  </si>
  <si>
    <t xml:space="preserve">Area of woodland adjacent to planned HDD route. Will be retained throughout construction and operation </t>
  </si>
  <si>
    <t>Containers etc within solar area. Condition assessment N/A</t>
  </si>
  <si>
    <t>Area within cable route assumed to revert to arable. Condition assessment N/A</t>
  </si>
  <si>
    <t>Area adjacent to access road assumed to revert to arable. Condition assessment N/a</t>
  </si>
  <si>
    <t xml:space="preserve">Areas of meadow grassland surrounding the solar areas. Asssumed moderate condition </t>
  </si>
  <si>
    <t>Roads within the RLB. Condition assessment N/A</t>
  </si>
  <si>
    <t xml:space="preserve">Grassland within the solar area. Assumed to modified and sheep grazed achieving moderate condition due to presence of solar infrastructure and shading resulting in areas of bare ground. </t>
  </si>
  <si>
    <t>New substation areas. Condition assessment N/A</t>
  </si>
  <si>
    <t>Access tracks (inlcuding exisitng and/ or upgraded tracks). Condition assessment N/a</t>
  </si>
  <si>
    <t xml:space="preserve">Planted woodland/ shelter belts/ screening. Assumed to achieve poor condition following precautionary approach </t>
  </si>
  <si>
    <t xml:space="preserve">managed rewilding woodland edge. Assumed to reach mature scrub within the 30 year period. Assumed to achive moderate condition possibly failing on presence of glades. </t>
  </si>
  <si>
    <t xml:space="preserve">Newly created hedgerow to be native species rich. Considered able to achieve good condition with appropraite management but assigned moderate following a precautionary appraoch. </t>
  </si>
  <si>
    <t>Automatically assigned as poor condition</t>
  </si>
  <si>
    <t>Oilseed rape field. Condition assessment N/A</t>
  </si>
  <si>
    <t>Grove Farm Solar</t>
  </si>
  <si>
    <t>RPC</t>
  </si>
  <si>
    <t xml:space="preserve">Full - solar (Appeal) </t>
  </si>
  <si>
    <t>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</si>
</sst>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0.0000"/>
    <numFmt numFmtId="167" formatCode="[$-F800]dddd\,\ mmmm\ dd\,\ yyyy"/>
  </numFmts>
  <fonts count="70" x14ac:knownFonts="1">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2" fillId="0" borderId="0" applyFont="0" applyFill="0" applyBorder="0" applyAlignment="0" applyProtection="0"/>
  </cellStyleXfs>
  <cellXfs count="1688">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5"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5"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5"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6" fontId="21" fillId="20" borderId="5" xfId="0" applyNumberFormat="1" applyFont="1" applyFill="1" applyBorder="1" applyAlignment="1">
      <alignment horizontal="center" vertical="center" wrapText="1"/>
    </xf>
    <xf numFmtId="166"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5"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5"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6"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4" fontId="31" fillId="21" borderId="5" xfId="0" applyNumberFormat="1" applyFont="1" applyFill="1" applyBorder="1" applyAlignment="1">
      <alignment vertical="center"/>
    </xf>
    <xf numFmtId="164"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4"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4"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5"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5"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5"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5"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5"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2" fontId="69" fillId="11" borderId="0" xfId="0" applyNumberFormat="1" applyFont="1" applyFill="1"/>
    <xf numFmtId="0" fontId="69" fillId="11" borderId="0" xfId="0" applyFont="1" applyFill="1" applyAlignment="1">
      <alignment horizontal="left" vertical="center"/>
    </xf>
    <xf numFmtId="0" fontId="51" fillId="11" borderId="0" xfId="0" applyFont="1" applyFill="1" applyAlignment="1">
      <alignment horizontal="center" vertical="center" wrapText="1"/>
    </xf>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7" fontId="10" fillId="3" borderId="5" xfId="0" applyNumberFormat="1" applyFont="1" applyFill="1" applyBorder="1" applyAlignment="1" applyProtection="1">
      <alignment horizontal="center"/>
      <protection locked="0"/>
    </xf>
    <xf numFmtId="167" fontId="10" fillId="3" borderId="21" xfId="0" applyNumberFormat="1" applyFont="1" applyFill="1" applyBorder="1" applyAlignment="1" applyProtection="1">
      <alignment horizontal="center"/>
      <protection locked="0"/>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167" fontId="13" fillId="3" borderId="5" xfId="9" applyNumberFormat="1" applyFont="1" applyFill="1" applyBorder="1" applyAlignment="1" applyProtection="1">
      <alignment horizontal="center" vertical="center"/>
      <protection locked="0"/>
    </xf>
    <xf numFmtId="167" fontId="13" fillId="3" borderId="21" xfId="9" applyNumberFormat="1" applyFont="1" applyFill="1" applyBorder="1" applyAlignment="1" applyProtection="1">
      <alignment horizontal="center" vertical="center"/>
      <protection locked="0"/>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10" borderId="23" xfId="0" applyFont="1" applyFill="1" applyBorder="1" applyAlignment="1">
      <alignment horizontal="left" vertical="center"/>
    </xf>
    <xf numFmtId="0" fontId="16" fillId="10" borderId="24" xfId="0" applyFont="1" applyFill="1" applyBorder="1" applyAlignment="1">
      <alignment horizontal="left" vertical="center"/>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10" xfId="0" applyFont="1" applyFill="1" applyBorder="1" applyAlignment="1">
      <alignment horizontal="left" vertical="center" wrapText="1"/>
    </xf>
    <xf numFmtId="1" fontId="16" fillId="3" borderId="10" xfId="0" applyNumberFormat="1" applyFont="1" applyFill="1" applyBorder="1" applyAlignment="1" applyProtection="1">
      <alignment horizontal="center" vertical="center" wrapText="1"/>
      <protection locked="0"/>
    </xf>
    <xf numFmtId="0" fontId="16" fillId="10" borderId="23" xfId="0" applyFont="1" applyFill="1" applyBorder="1" applyAlignment="1">
      <alignment horizontal="left" vertical="center" wrapText="1"/>
    </xf>
    <xf numFmtId="0" fontId="16" fillId="10" borderId="24" xfId="0" applyFont="1" applyFill="1" applyBorder="1" applyAlignment="1">
      <alignment horizontal="left" vertical="center" wrapText="1"/>
    </xf>
    <xf numFmtId="1" fontId="16" fillId="3" borderId="10" xfId="0" applyNumberFormat="1" applyFont="1" applyFill="1" applyBorder="1" applyAlignment="1" applyProtection="1">
      <alignment horizontal="center" vertical="center"/>
      <protection locked="0"/>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13" fillId="10" borderId="23" xfId="0" applyFont="1" applyFill="1" applyBorder="1" applyAlignment="1">
      <alignment horizontal="center"/>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46" xfId="0" applyFont="1" applyFill="1" applyBorder="1" applyAlignment="1">
      <alignment horizontal="left" vertical="center"/>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0" fontId="0" fillId="9" borderId="0" xfId="0" applyFill="1" applyAlignment="1">
      <alignment horizontal="right" vertical="top"/>
    </xf>
    <xf numFmtId="0" fontId="7" fillId="9" borderId="0" xfId="21" applyFill="1" applyBorder="1" applyAlignment="1" applyProtection="1">
      <alignment horizontal="left" vertical="top"/>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49" fillId="9" borderId="0" xfId="0" applyFont="1" applyFill="1" applyAlignment="1">
      <alignment horizontal="center" vertical="center"/>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73"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6" fillId="11" borderId="0" xfId="0" applyFont="1" applyFill="1" applyAlignment="1">
      <alignment horizontal="center" vertical="center" wrapText="1"/>
    </xf>
    <xf numFmtId="2" fontId="14" fillId="4" borderId="17"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7" fillId="11" borderId="0" xfId="0" applyFont="1" applyFill="1" applyAlignment="1">
      <alignment horizont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11" fillId="11" borderId="0" xfId="0" applyFont="1" applyFill="1" applyAlignment="1">
      <alignment horizontal="left"/>
    </xf>
    <xf numFmtId="0" fontId="16" fillId="5" borderId="54" xfId="0" applyFont="1" applyFill="1" applyBorder="1" applyAlignment="1">
      <alignment horizontal="center" vertical="center" wrapText="1"/>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46" fillId="5" borderId="54" xfId="0"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1" fontId="10" fillId="20" borderId="38" xfId="0" applyNumberFormat="1" applyFont="1" applyFill="1" applyBorder="1" applyAlignment="1">
      <alignment horizontal="center" vertical="center"/>
    </xf>
    <xf numFmtId="0" fontId="10" fillId="20" borderId="66" xfId="0" applyFont="1" applyFill="1" applyBorder="1" applyAlignment="1">
      <alignment horizontal="center" vertical="center"/>
    </xf>
    <xf numFmtId="0" fontId="10" fillId="20" borderId="52" xfId="0" applyFont="1" applyFill="1" applyBorder="1" applyAlignment="1">
      <alignment horizontal="center" vertical="center"/>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2" fontId="10" fillId="20" borderId="17" xfId="0" applyNumberFormat="1" applyFont="1" applyFill="1" applyBorder="1" applyAlignment="1">
      <alignment horizontal="center"/>
    </xf>
    <xf numFmtId="2" fontId="10" fillId="20" borderId="18" xfId="0" applyNumberFormat="1" applyFont="1" applyFill="1" applyBorder="1" applyAlignment="1">
      <alignment horizontal="center"/>
    </xf>
    <xf numFmtId="0" fontId="11" fillId="5" borderId="30" xfId="0" applyFont="1" applyFill="1" applyBorder="1" applyAlignment="1">
      <alignment horizontal="center"/>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10" fillId="20" borderId="42" xfId="0" applyFont="1" applyFill="1" applyBorder="1" applyAlignment="1">
      <alignment horizontal="center" vertical="center"/>
    </xf>
    <xf numFmtId="2" fontId="10" fillId="20" borderId="19" xfId="0" applyNumberFormat="1" applyFont="1" applyFill="1" applyBorder="1" applyAlignment="1">
      <alignment horizontal="center"/>
    </xf>
    <xf numFmtId="2" fontId="10" fillId="20" borderId="22" xfId="0" applyNumberFormat="1" applyFont="1" applyFill="1" applyBorder="1" applyAlignment="1">
      <alignment horizontal="center"/>
    </xf>
    <xf numFmtId="0" fontId="10" fillId="5" borderId="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14" fillId="9" borderId="0" xfId="0" applyFont="1" applyFill="1" applyAlignment="1">
      <alignment horizontal="center"/>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11" borderId="0" xfId="0" applyFont="1" applyFill="1" applyAlignment="1">
      <alignment horizontal="center"/>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5" borderId="40" xfId="0" applyFont="1" applyFill="1" applyBorder="1" applyAlignment="1">
      <alignment horizontal="center" vertical="center" wrapText="1"/>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52" fillId="11" borderId="0" xfId="0" applyFont="1" applyFill="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4" fillId="5" borderId="5" xfId="0" applyFont="1" applyFill="1" applyBorder="1" applyAlignment="1">
      <alignment horizontal="center" vertical="center" wrapText="1"/>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 name="Percent" xfId="32" builtinId="5"/>
  </cellStyles>
  <dxfs count="9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b/>
        <i val="0"/>
        <u val="none"/>
        <color theme="0"/>
      </font>
      <fill>
        <patternFill>
          <bgColor rgb="FFC0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ont>
        <color theme="0"/>
      </font>
      <fill>
        <patternFill>
          <bgColor rgb="FFC00000"/>
        </patternFill>
      </fill>
    </dxf>
    <dxf>
      <fill>
        <patternFill>
          <bgColor rgb="FF92D050"/>
        </patternFill>
      </fill>
    </dxf>
    <dxf>
      <font>
        <u val="none"/>
        <color auto="1"/>
      </font>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b/>
        <i val="0"/>
        <color rgb="FFFF0000"/>
      </font>
    </dxf>
    <dxf>
      <font>
        <color rgb="FF000000"/>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ill>
        <patternFill>
          <bgColor rgb="FFFFC00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000000"/>
      <color rgb="FFABC3C9"/>
      <color rgb="FFFFFF99"/>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microsoft.com/office/2017/06/relationships/rdRichValue" Target="richData/rdrichvalue.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56" Type="http://schemas.openxmlformats.org/officeDocument/2006/relationships/customXml" Target="../customXml/item3.xml"/><Relationship Id="rId8" Type="http://schemas.openxmlformats.org/officeDocument/2006/relationships/worksheet" Target="worksheets/sheet8.xml"/><Relationship Id="rId51" Type="http://schemas.microsoft.com/office/2017/06/relationships/rdRichValueStructure" Target="richData/rdrichvaluestructure.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0.85699999999999998</c:v>
                </c:pt>
                <c:pt idx="1">
                  <c:v>0</c:v>
                </c:pt>
                <c:pt idx="2">
                  <c:v>45.938000000000002</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81436784"/>
        <c:axId val="81435216"/>
      </c:barChart>
      <c:catAx>
        <c:axId val="81436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81435216"/>
        <c:crosses val="autoZero"/>
        <c:auto val="1"/>
        <c:lblAlgn val="ctr"/>
        <c:lblOffset val="100"/>
        <c:noMultiLvlLbl val="0"/>
      </c:catAx>
      <c:valAx>
        <c:axId val="81435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8143678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c:v>
                </c:pt>
                <c:pt idx="2">
                  <c:v>0</c:v>
                </c:pt>
                <c:pt idx="3">
                  <c:v>0</c:v>
                </c:pt>
                <c:pt idx="4">
                  <c:v>0</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c:v>
                </c:pt>
                <c:pt idx="2">
                  <c:v>0</c:v>
                </c:pt>
                <c:pt idx="3">
                  <c:v>0</c:v>
                </c:pt>
                <c:pt idx="4">
                  <c:v>2.4900000000000002</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c:v>
                </c:pt>
                <c:pt idx="2">
                  <c:v>0</c:v>
                </c:pt>
                <c:pt idx="3">
                  <c:v>0</c:v>
                </c:pt>
                <c:pt idx="4">
                  <c:v>2.4900000000000002</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363119488"/>
        <c:axId val="363119880"/>
      </c:barChart>
      <c:catAx>
        <c:axId val="36311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880"/>
        <c:crosses val="autoZero"/>
        <c:auto val="1"/>
        <c:lblAlgn val="ctr"/>
        <c:lblOffset val="100"/>
        <c:noMultiLvlLbl val="0"/>
      </c:catAx>
      <c:valAx>
        <c:axId val="3631198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488"/>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8E8B-476C-8614-DB87123C0D33}"/>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E8B-476C-8614-DB87123C0D33}"/>
              </c:ext>
            </c:extLst>
          </c:dPt>
          <c:dPt>
            <c:idx val="3"/>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7-9799-4F43-95CF-D5064FD9E3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799-4F43-95CF-D5064FD9E30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c:v>
                </c:pt>
                <c:pt idx="2">
                  <c:v>0</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3121056"/>
        <c:axId val="363121448"/>
      </c:barChart>
      <c:catAx>
        <c:axId val="363121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363121448"/>
        <c:crosses val="autoZero"/>
        <c:auto val="1"/>
        <c:lblAlgn val="ctr"/>
        <c:lblOffset val="100"/>
        <c:noMultiLvlLbl val="0"/>
      </c:catAx>
      <c:valAx>
        <c:axId val="363121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210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0</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3698704"/>
        <c:axId val="363699096"/>
      </c:barChart>
      <c:catAx>
        <c:axId val="3636987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9096"/>
        <c:crosses val="autoZero"/>
        <c:auto val="1"/>
        <c:lblAlgn val="ctr"/>
        <c:lblOffset val="100"/>
        <c:noMultiLvlLbl val="0"/>
      </c:catAx>
      <c:valAx>
        <c:axId val="363699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8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363702232"/>
        <c:axId val="363492344"/>
      </c:barChart>
      <c:catAx>
        <c:axId val="36370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2344"/>
        <c:crosses val="autoZero"/>
        <c:auto val="1"/>
        <c:lblAlgn val="ctr"/>
        <c:lblOffset val="100"/>
        <c:noMultiLvlLbl val="0"/>
      </c:catAx>
      <c:valAx>
        <c:axId val="363492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2232"/>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363493128"/>
        <c:axId val="363493520"/>
      </c:barChart>
      <c:catAx>
        <c:axId val="363493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520"/>
        <c:crosses val="autoZero"/>
        <c:auto val="1"/>
        <c:lblAlgn val="ctr"/>
        <c:lblOffset val="100"/>
        <c:noMultiLvlLbl val="0"/>
      </c:catAx>
      <c:valAx>
        <c:axId val="3634935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128"/>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5.5839999999999996</c:v>
                </c:pt>
                <c:pt idx="1">
                  <c:v>0</c:v>
                </c:pt>
                <c:pt idx="2">
                  <c:v>91.10799999999999</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1463880"/>
        <c:axId val="361464272"/>
      </c:barChart>
      <c:catAx>
        <c:axId val="3614638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4272"/>
        <c:crosses val="autoZero"/>
        <c:auto val="1"/>
        <c:lblAlgn val="ctr"/>
        <c:lblOffset val="100"/>
        <c:noMultiLvlLbl val="0"/>
      </c:catAx>
      <c:valAx>
        <c:axId val="36146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3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16.273</c:v>
                </c:pt>
                <c:pt idx="1">
                  <c:v>29.661000000000001</c:v>
                </c:pt>
                <c:pt idx="2">
                  <c:v>2.3E-2</c:v>
                </c:pt>
                <c:pt idx="3">
                  <c:v>0</c:v>
                </c:pt>
                <c:pt idx="4">
                  <c:v>0</c:v>
                </c:pt>
                <c:pt idx="5">
                  <c:v>0.51300000000000001</c:v>
                </c:pt>
                <c:pt idx="6">
                  <c:v>0</c:v>
                </c:pt>
                <c:pt idx="7">
                  <c:v>0.32500000000000001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0.17499999999999999</c:v>
                </c:pt>
                <c:pt idx="1">
                  <c:v>42.995000000000005</c:v>
                </c:pt>
                <c:pt idx="2">
                  <c:v>0.66100000000000003</c:v>
                </c:pt>
                <c:pt idx="3">
                  <c:v>0</c:v>
                </c:pt>
                <c:pt idx="4">
                  <c:v>0</c:v>
                </c:pt>
                <c:pt idx="5">
                  <c:v>1.3779999999999999</c:v>
                </c:pt>
                <c:pt idx="6">
                  <c:v>0</c:v>
                </c:pt>
                <c:pt idx="7">
                  <c:v>1.5860000000000001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-16.097999999999999</c:v>
                </c:pt>
                <c:pt idx="1">
                  <c:v>13.334000000000003</c:v>
                </c:pt>
                <c:pt idx="2">
                  <c:v>0.63800000000000001</c:v>
                </c:pt>
                <c:pt idx="3">
                  <c:v>0</c:v>
                </c:pt>
                <c:pt idx="4">
                  <c:v>0</c:v>
                </c:pt>
                <c:pt idx="5">
                  <c:v>0.86499999999999988</c:v>
                </c:pt>
                <c:pt idx="6">
                  <c:v>0</c:v>
                </c:pt>
                <c:pt idx="7">
                  <c:v>1.2610000000000001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361465056"/>
        <c:axId val="361465448"/>
      </c:barChart>
      <c:catAx>
        <c:axId val="36146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448"/>
        <c:crosses val="autoZero"/>
        <c:auto val="1"/>
        <c:lblAlgn val="ctr"/>
        <c:lblOffset val="100"/>
        <c:noMultiLvlLbl val="0"/>
      </c:catAx>
      <c:valAx>
        <c:axId val="361465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056"/>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32.545999999999999</c:v>
                </c:pt>
                <c:pt idx="1">
                  <c:v>61.362000000000002</c:v>
                </c:pt>
                <c:pt idx="2">
                  <c:v>0.184</c:v>
                </c:pt>
                <c:pt idx="3">
                  <c:v>0</c:v>
                </c:pt>
                <c:pt idx="4">
                  <c:v>0</c:v>
                </c:pt>
                <c:pt idx="5">
                  <c:v>0</c:v>
                </c:pt>
                <c:pt idx="6">
                  <c:v>0</c:v>
                </c:pt>
                <c:pt idx="7">
                  <c:v>2.6</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0.34187999999999996</c:v>
                </c:pt>
                <c:pt idx="1">
                  <c:v>181.31072774346643</c:v>
                </c:pt>
                <c:pt idx="2">
                  <c:v>4.4251501687728005</c:v>
                </c:pt>
                <c:pt idx="3">
                  <c:v>0</c:v>
                </c:pt>
                <c:pt idx="4">
                  <c:v>0</c:v>
                </c:pt>
                <c:pt idx="5">
                  <c:v>0</c:v>
                </c:pt>
                <c:pt idx="6">
                  <c:v>0</c:v>
                </c:pt>
                <c:pt idx="7">
                  <c:v>8.5117324898840021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-32.204119999999996</c:v>
                </c:pt>
                <c:pt idx="1">
                  <c:v>119.94872774346643</c:v>
                </c:pt>
                <c:pt idx="2">
                  <c:v>4.2411501687728004</c:v>
                </c:pt>
                <c:pt idx="3">
                  <c:v>0</c:v>
                </c:pt>
                <c:pt idx="4">
                  <c:v>0</c:v>
                </c:pt>
                <c:pt idx="5">
                  <c:v>0</c:v>
                </c:pt>
                <c:pt idx="6">
                  <c:v>0</c:v>
                </c:pt>
                <c:pt idx="7">
                  <c:v>5.9117324898840025</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361466232"/>
        <c:axId val="361466624"/>
      </c:barChart>
      <c:catAx>
        <c:axId val="361466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624"/>
        <c:crosses val="autoZero"/>
        <c:auto val="1"/>
        <c:lblAlgn val="ctr"/>
        <c:lblOffset val="100"/>
        <c:noMultiLvlLbl val="0"/>
      </c:catAx>
      <c:valAx>
        <c:axId val="361466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232"/>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5986-42D7-BACE-C59EEEA0AC2E}"/>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5986-42D7-BACE-C59EEEA0AC2E}"/>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1CEA-40D5-BD3F-A8E96701730E}"/>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1CEA-40D5-BD3F-A8E96701730E}"/>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c:v>
                </c:pt>
                <c:pt idx="2">
                  <c:v>2.3E-2</c:v>
                </c:pt>
                <c:pt idx="3">
                  <c:v>45.461999999999996</c:v>
                </c:pt>
                <c:pt idx="4">
                  <c:v>0.45300000000000007</c:v>
                </c:pt>
              </c:numCache>
            </c:numRef>
          </c:val>
          <c:extLs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c:ext xmlns:c16="http://schemas.microsoft.com/office/drawing/2014/chart" uri="{C3380CC4-5D6E-409C-BE32-E72D297353CC}">
                <c16:uniqueId val="{00000005-8482-4D64-92C0-6269A830BE1D}"/>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482-4D64-92C0-6269A830BE1D}"/>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D6C7-4806-97CD-309F0211326D}"/>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D6C7-4806-97CD-309F0211326D}"/>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2.54</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2073928"/>
        <c:axId val="362077456"/>
      </c:barChart>
      <c:catAx>
        <c:axId val="362073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362077456"/>
        <c:crosses val="autoZero"/>
        <c:auto val="1"/>
        <c:lblAlgn val="ctr"/>
        <c:lblOffset val="100"/>
        <c:noMultiLvlLbl val="0"/>
      </c:catAx>
      <c:valAx>
        <c:axId val="3620774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36207392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16.240000000000002</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2005632"/>
        <c:axId val="362006024"/>
      </c:barChart>
      <c:catAx>
        <c:axId val="3620056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6024"/>
        <c:crosses val="autoZero"/>
        <c:auto val="1"/>
        <c:lblAlgn val="ctr"/>
        <c:lblOffset val="100"/>
        <c:noMultiLvlLbl val="0"/>
      </c:catAx>
      <c:valAx>
        <c:axId val="3620060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5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0</c:v>
                </c:pt>
                <c:pt idx="2">
                  <c:v>0</c:v>
                </c:pt>
                <c:pt idx="3">
                  <c:v>0</c:v>
                </c:pt>
                <c:pt idx="4">
                  <c:v>0</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0</c:v>
                </c:pt>
                <c:pt idx="2">
                  <c:v>0</c:v>
                </c:pt>
                <c:pt idx="3">
                  <c:v>0</c:v>
                </c:pt>
                <c:pt idx="4">
                  <c:v>16.669627715952004</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0</c:v>
                </c:pt>
                <c:pt idx="2">
                  <c:v>0</c:v>
                </c:pt>
                <c:pt idx="3">
                  <c:v>0</c:v>
                </c:pt>
                <c:pt idx="4">
                  <c:v>16.669627715952004</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362007984"/>
        <c:axId val="362008376"/>
      </c:barChart>
      <c:catAx>
        <c:axId val="3620079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8376"/>
        <c:crosses val="autoZero"/>
        <c:auto val="1"/>
        <c:lblAlgn val="ctr"/>
        <c:lblOffset val="100"/>
        <c:noMultiLvlLbl val="0"/>
      </c:catAx>
      <c:valAx>
        <c:axId val="3620083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7984"/>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7.sv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C00-000007000000}"/>
            </a:ext>
          </a:extLst>
        </xdr:cNvPr>
        <xdr:cNvGrpSpPr/>
      </xdr:nvGrpSpPr>
      <xdr:grpSpPr>
        <a:xfrm>
          <a:off x="0" y="907438"/>
          <a:ext cx="7037161" cy="760798"/>
          <a:chOff x="205740" y="855086"/>
          <a:chExt cx="4701455" cy="793824"/>
        </a:xfrm>
      </xdr:grpSpPr>
      <xdr:sp macro="[0]!ToggleHideRows" textlink="">
        <xdr:nvSpPr>
          <xdr:cNvPr id="17" name="Rectangle: Rounded Corners 19">
            <a:extLst>
              <a:ext uri="{FF2B5EF4-FFF2-40B4-BE49-F238E27FC236}">
                <a16:creationId xmlns:a16="http://schemas.microsoft.com/office/drawing/2014/main"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D00-000026000000}"/>
            </a:ext>
          </a:extLst>
        </xdr:cNvPr>
        <xdr:cNvGrpSpPr/>
      </xdr:nvGrpSpPr>
      <xdr:grpSpPr>
        <a:xfrm>
          <a:off x="123825" y="837260"/>
          <a:ext cx="6886575" cy="982015"/>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E00-000015000000}"/>
            </a:ext>
          </a:extLst>
        </xdr:cNvPr>
        <xdr:cNvGrpSpPr/>
      </xdr:nvGrpSpPr>
      <xdr:grpSpPr>
        <a:xfrm>
          <a:off x="19051" y="883444"/>
          <a:ext cx="5634038" cy="759403"/>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0" y="941070"/>
          <a:ext cx="6901815" cy="785597"/>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1000-000022000000}"/>
            </a:ext>
          </a:extLst>
        </xdr:cNvPr>
        <xdr:cNvGrpSpPr/>
      </xdr:nvGrpSpPr>
      <xdr:grpSpPr>
        <a:xfrm>
          <a:off x="49530" y="1045845"/>
          <a:ext cx="6211253" cy="918947"/>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id="{00000000-0008-0000-1100-00001F000000}"/>
            </a:ext>
          </a:extLst>
        </xdr:cNvPr>
        <xdr:cNvGrpSpPr/>
      </xdr:nvGrpSpPr>
      <xdr:grpSpPr>
        <a:xfrm>
          <a:off x="1270" y="942974"/>
          <a:ext cx="5868511" cy="749880"/>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198120" y="853440"/>
          <a:ext cx="5454015" cy="44603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1300-00000B000000}"/>
            </a:ext>
          </a:extLst>
        </xdr:cNvPr>
        <xdr:cNvGrpSpPr/>
      </xdr:nvGrpSpPr>
      <xdr:grpSpPr>
        <a:xfrm>
          <a:off x="182881" y="965835"/>
          <a:ext cx="6061709" cy="75845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400-000007000000}"/>
            </a:ext>
          </a:extLst>
        </xdr:cNvPr>
        <xdr:cNvGrpSpPr/>
      </xdr:nvGrpSpPr>
      <xdr:grpSpPr>
        <a:xfrm>
          <a:off x="201930" y="1010126"/>
          <a:ext cx="4972049" cy="757023"/>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500-00001E000000}"/>
            </a:ext>
          </a:extLst>
        </xdr:cNvPr>
        <xdr:cNvGrpSpPr/>
      </xdr:nvGrpSpPr>
      <xdr:grpSpPr>
        <a:xfrm>
          <a:off x="383381" y="904875"/>
          <a:ext cx="5103019" cy="568904"/>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600-00002F000000}"/>
            </a:ext>
          </a:extLst>
        </xdr:cNvPr>
        <xdr:cNvGrpSpPr/>
      </xdr:nvGrpSpPr>
      <xdr:grpSpPr>
        <a:xfrm>
          <a:off x="171450" y="933450"/>
          <a:ext cx="6134100" cy="757022"/>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700-00003B000000}"/>
            </a:ext>
          </a:extLst>
        </xdr:cNvPr>
        <xdr:cNvGrpSpPr/>
      </xdr:nvGrpSpPr>
      <xdr:grpSpPr>
        <a:xfrm>
          <a:off x="209550" y="1019175"/>
          <a:ext cx="4283869" cy="768929"/>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800-00004F000000}"/>
            </a:ext>
          </a:extLst>
        </xdr:cNvPr>
        <xdr:cNvGrpSpPr/>
      </xdr:nvGrpSpPr>
      <xdr:grpSpPr>
        <a:xfrm>
          <a:off x="190501" y="955617"/>
          <a:ext cx="4903166" cy="790231"/>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900-000060000000}"/>
            </a:ext>
          </a:extLst>
        </xdr:cNvPr>
        <xdr:cNvGrpSpPr/>
      </xdr:nvGrpSpPr>
      <xdr:grpSpPr>
        <a:xfrm>
          <a:off x="190500" y="788194"/>
          <a:ext cx="5238750" cy="754641"/>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A00-000026000000}"/>
            </a:ext>
          </a:extLst>
        </xdr:cNvPr>
        <xdr:cNvGrpSpPr/>
      </xdr:nvGrpSpPr>
      <xdr:grpSpPr>
        <a:xfrm>
          <a:off x="211811" y="1192049"/>
          <a:ext cx="5437770" cy="752380"/>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B00-000098000000}"/>
            </a:ext>
          </a:extLst>
        </xdr:cNvPr>
        <xdr:cNvGrpSpPr/>
      </xdr:nvGrpSpPr>
      <xdr:grpSpPr>
        <a:xfrm>
          <a:off x="246273" y="895508"/>
          <a:ext cx="5221922" cy="781523"/>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C00-000040000000}"/>
            </a:ext>
          </a:extLst>
        </xdr:cNvPr>
        <xdr:cNvGrpSpPr/>
      </xdr:nvGrpSpPr>
      <xdr:grpSpPr>
        <a:xfrm>
          <a:off x="152401" y="985838"/>
          <a:ext cx="4757738" cy="749878"/>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D00-00002A000000}"/>
            </a:ext>
          </a:extLst>
        </xdr:cNvPr>
        <xdr:cNvGrpSpPr/>
      </xdr:nvGrpSpPr>
      <xdr:grpSpPr>
        <a:xfrm>
          <a:off x="182314" y="1206457"/>
          <a:ext cx="4461458" cy="739599"/>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586740</xdr:colOff>
          <xdr:row>11</xdr:row>
          <xdr:rowOff>167640</xdr:rowOff>
        </xdr:from>
        <xdr:to>
          <xdr:col>15</xdr:col>
          <xdr:colOff>182880</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116874" y="1627506"/>
          <a:ext cx="7142164" cy="459581"/>
          <a:chOff x="2777308" y="1638300"/>
          <a:chExt cx="7073266" cy="373757"/>
        </a:xfrm>
      </xdr:grpSpPr>
      <xdr:sp macro="[0]!Activatestart" textlink="">
        <xdr:nvSpPr>
          <xdr:cNvPr id="32" name="TextBox 31">
            <a:extLst>
              <a:ext uri="{FF2B5EF4-FFF2-40B4-BE49-F238E27FC236}">
                <a16:creationId xmlns:a16="http://schemas.microsoft.com/office/drawing/2014/main"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id="{00000000-0008-0000-0400-00003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id="{00000000-0008-0000-0400-00003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id="{00000000-0008-0000-0400-00004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id="{00000000-0008-0000-0400-00004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id="{00000000-0008-0000-0400-00004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id="{00000000-0008-0000-0400-00004D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id="{00000000-0008-0000-0400-00004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id="{00000000-0008-0000-0400-000051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id="{00000000-0008-0000-0400-00005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showGridLines="0" showRowColHeaders="0" zoomScale="80" zoomScaleNormal="80" workbookViewId="0">
      <selection activeCell="P8" sqref="P8"/>
    </sheetView>
  </sheetViews>
  <sheetFormatPr defaultColWidth="9.21875" defaultRowHeight="14.55" customHeight="1" zeroHeight="1" x14ac:dyDescent="0.3"/>
  <cols>
    <col min="1" max="2" width="9.21875" style="9" customWidth="1"/>
    <col min="3" max="3" width="7" style="9" customWidth="1"/>
    <col min="4" max="6" width="9.21875" style="9" customWidth="1"/>
    <col min="7" max="7" width="12.21875" style="9" customWidth="1"/>
    <col min="8" max="8" width="5.77734375" style="9" customWidth="1"/>
    <col min="9" max="9" width="9.21875" style="9" customWidth="1"/>
    <col min="10" max="10" width="34.5546875" style="9" customWidth="1"/>
    <col min="11" max="11" width="13.77734375" style="9" bestFit="1" customWidth="1"/>
    <col min="12" max="12" width="19.21875" style="9" customWidth="1"/>
    <col min="13" max="14" width="9.21875" style="9" customWidth="1"/>
    <col min="15" max="16384" width="9.21875" style="9"/>
  </cols>
  <sheetData>
    <row r="1" spans="1:7" ht="30" customHeight="1" x14ac:dyDescent="0.4">
      <c r="A1" s="8"/>
      <c r="B1" s="8"/>
      <c r="C1" s="8"/>
      <c r="D1" s="8"/>
      <c r="E1" s="8"/>
      <c r="F1" s="8"/>
      <c r="G1" s="8"/>
    </row>
    <row r="2" spans="1:7" ht="16.5" customHeight="1" x14ac:dyDescent="0.3"/>
    <row r="3" spans="1:7" ht="16.5" customHeight="1" x14ac:dyDescent="0.3"/>
    <row r="4" spans="1:7" ht="16.5" customHeight="1" x14ac:dyDescent="0.3"/>
    <row r="5" spans="1:7" ht="16.5" customHeight="1" x14ac:dyDescent="0.3"/>
    <row r="6" spans="1:7" ht="16.5" customHeight="1" x14ac:dyDescent="0.3"/>
    <row r="7" spans="1:7" ht="16.5" customHeight="1" x14ac:dyDescent="0.3"/>
    <row r="8" spans="1:7" ht="16.5" customHeight="1" x14ac:dyDescent="0.3"/>
    <row r="9" spans="1:7" ht="16.5" customHeight="1" x14ac:dyDescent="0.3"/>
    <row r="10" spans="1:7" ht="16.5" customHeight="1" x14ac:dyDescent="0.3"/>
    <row r="11" spans="1:7" ht="16.5" customHeight="1" x14ac:dyDescent="0.3"/>
    <row r="12" spans="1:7" ht="16.5" customHeight="1" x14ac:dyDescent="0.3"/>
    <row r="13" spans="1:7" ht="16.5" customHeight="1" x14ac:dyDescent="0.3"/>
    <row r="14" spans="1:7" ht="16.5" customHeight="1" x14ac:dyDescent="0.3"/>
    <row r="15" spans="1:7" ht="16.5" customHeight="1" x14ac:dyDescent="0.3"/>
    <row r="16" spans="1:7" ht="16.5" customHeight="1" x14ac:dyDescent="0.3"/>
    <row r="17" spans="10:10" ht="16.5" customHeight="1" x14ac:dyDescent="0.3"/>
    <row r="18" spans="10:10" ht="16.5" customHeight="1" x14ac:dyDescent="0.3"/>
    <row r="19" spans="10:10" ht="16.5" customHeight="1" x14ac:dyDescent="0.3"/>
    <row r="20" spans="10:10" ht="16.5" customHeight="1" x14ac:dyDescent="0.3"/>
    <row r="21" spans="10:10" ht="16.5" customHeight="1" x14ac:dyDescent="0.3"/>
    <row r="22" spans="10:10" ht="16.5" customHeight="1" x14ac:dyDescent="0.3"/>
    <row r="23" spans="10:10" ht="16.5" customHeight="1" x14ac:dyDescent="0.3"/>
    <row r="24" spans="10:10" ht="16.5" customHeight="1" x14ac:dyDescent="0.3"/>
    <row r="25" spans="10:10" ht="16.5" customHeight="1" x14ac:dyDescent="0.3">
      <c r="J25" s="10"/>
    </row>
    <row r="26" spans="10:10" ht="16.5" customHeight="1" x14ac:dyDescent="0.3"/>
    <row r="27" spans="10:10" ht="16.5" customHeight="1" x14ac:dyDescent="0.3"/>
    <row r="28" spans="10:10" ht="16.5" customHeight="1" x14ac:dyDescent="0.3"/>
    <row r="29" spans="10:10" ht="16.5" customHeight="1" x14ac:dyDescent="0.3"/>
    <row r="30" spans="10:10" ht="16.5" customHeight="1" x14ac:dyDescent="0.3"/>
    <row r="31" spans="10:10" ht="16.5" customHeight="1" x14ac:dyDescent="0.3"/>
    <row r="32" spans="10:10" ht="16.5" customHeight="1" x14ac:dyDescent="0.3"/>
    <row r="33" ht="16.5" customHeight="1" x14ac:dyDescent="0.3"/>
    <row r="34" ht="16.5" customHeight="1" x14ac:dyDescent="0.3"/>
    <row r="35" ht="16.5" customHeight="1" x14ac:dyDescent="0.3"/>
    <row r="36" ht="16.5" customHeight="1" x14ac:dyDescent="0.3"/>
    <row r="37" ht="16.5" customHeight="1" x14ac:dyDescent="0.3"/>
    <row r="38" ht="16.5" customHeight="1" x14ac:dyDescent="0.3"/>
    <row r="39" ht="16.5" customHeight="1" x14ac:dyDescent="0.3"/>
    <row r="40" ht="16.5" customHeight="1" x14ac:dyDescent="0.3"/>
    <row r="41" ht="16.5" customHeight="1" x14ac:dyDescent="0.3"/>
    <row r="42" ht="16.5" customHeight="1" x14ac:dyDescent="0.3"/>
    <row r="43" ht="16.5" customHeight="1" x14ac:dyDescent="0.3"/>
    <row r="44" ht="16.5" customHeight="1" x14ac:dyDescent="0.3"/>
    <row r="45" ht="16.5" customHeight="1" x14ac:dyDescent="0.3"/>
    <row r="46" ht="16.5" customHeight="1" x14ac:dyDescent="0.3"/>
    <row r="47" ht="16.5" customHeight="1" x14ac:dyDescent="0.3"/>
    <row r="48" ht="16.5" customHeight="1" x14ac:dyDescent="0.3"/>
    <row r="49" ht="16.5" customHeight="1" x14ac:dyDescent="0.3"/>
    <row r="50" ht="16.5" customHeight="1" x14ac:dyDescent="0.3"/>
    <row r="51" ht="16.5" customHeight="1" x14ac:dyDescent="0.3"/>
    <row r="52" ht="16.5" customHeight="1" x14ac:dyDescent="0.3"/>
    <row r="53" ht="16.5" customHeight="1" x14ac:dyDescent="0.3"/>
    <row r="54" ht="16.5" customHeight="1" x14ac:dyDescent="0.3"/>
    <row r="55" ht="16.5" customHeight="1" x14ac:dyDescent="0.3"/>
    <row r="56" ht="16.5" customHeight="1" x14ac:dyDescent="0.3"/>
    <row r="57" ht="16.5" customHeight="1" x14ac:dyDescent="0.3"/>
    <row r="58" ht="16.5" customHeight="1" x14ac:dyDescent="0.3"/>
    <row r="59" ht="16.5" customHeight="1" x14ac:dyDescent="0.3"/>
    <row r="60" ht="16.5" customHeight="1" x14ac:dyDescent="0.3"/>
    <row r="61" ht="16.5" customHeight="1" x14ac:dyDescent="0.3"/>
    <row r="62" ht="16.5" customHeight="1" x14ac:dyDescent="0.3"/>
    <row r="63" ht="16.5" customHeight="1" x14ac:dyDescent="0.3"/>
    <row r="64" ht="16.5" customHeight="1" x14ac:dyDescent="0.3"/>
    <row r="65" ht="16.5" customHeight="1" x14ac:dyDescent="0.3"/>
    <row r="66" ht="16.5" customHeight="1" x14ac:dyDescent="0.3"/>
    <row r="67" ht="16.5" customHeight="1" x14ac:dyDescent="0.3"/>
    <row r="68" ht="16.5" customHeight="1" x14ac:dyDescent="0.3"/>
    <row r="69" ht="16.5" customHeight="1" x14ac:dyDescent="0.3"/>
    <row r="70" ht="16.5" customHeight="1" x14ac:dyDescent="0.3"/>
    <row r="71" ht="16.5" customHeight="1" x14ac:dyDescent="0.3"/>
    <row r="72" ht="16.5" customHeight="1" x14ac:dyDescent="0.3"/>
    <row r="73" ht="16.5" customHeight="1" x14ac:dyDescent="0.3"/>
    <row r="74" ht="16.5" customHeight="1" x14ac:dyDescent="0.3"/>
    <row r="75" ht="16.5" customHeight="1" x14ac:dyDescent="0.3"/>
    <row r="76" ht="16.5" customHeight="1" x14ac:dyDescent="0.3"/>
    <row r="77" ht="16.5" customHeight="1" x14ac:dyDescent="0.3"/>
    <row r="78" ht="16.5" customHeight="1" x14ac:dyDescent="0.3"/>
    <row r="79" ht="16.5" customHeight="1" x14ac:dyDescent="0.3"/>
    <row r="80" ht="16.5" customHeight="1" x14ac:dyDescent="0.3"/>
    <row r="81" ht="16.5" customHeight="1" x14ac:dyDescent="0.3"/>
    <row r="82" ht="16.5" customHeight="1" x14ac:dyDescent="0.3"/>
    <row r="83" ht="16.5" customHeight="1" x14ac:dyDescent="0.3"/>
    <row r="84" ht="16.5" customHeight="1" x14ac:dyDescent="0.3"/>
    <row r="85" ht="16.5" customHeight="1" x14ac:dyDescent="0.3"/>
    <row r="86" ht="16.5" customHeight="1" x14ac:dyDescent="0.3"/>
    <row r="87" ht="16.5" customHeight="1" x14ac:dyDescent="0.3"/>
    <row r="88" ht="16.5" customHeight="1" x14ac:dyDescent="0.3"/>
    <row r="89" ht="16.5" customHeight="1" x14ac:dyDescent="0.3"/>
    <row r="90" ht="16.5" customHeight="1" x14ac:dyDescent="0.3"/>
    <row r="91" ht="16.5" customHeight="1" x14ac:dyDescent="0.3"/>
    <row r="92" ht="16.5" customHeight="1" x14ac:dyDescent="0.3"/>
    <row r="93" ht="16.5" customHeight="1" x14ac:dyDescent="0.3"/>
    <row r="94" ht="16.5" customHeight="1" x14ac:dyDescent="0.3"/>
    <row r="95" ht="16.5" customHeight="1" x14ac:dyDescent="0.3"/>
    <row r="96" ht="16.5" customHeight="1" x14ac:dyDescent="0.3"/>
    <row r="97" ht="16.5" customHeight="1" x14ac:dyDescent="0.3"/>
    <row r="98" ht="16.5" customHeight="1" x14ac:dyDescent="0.3"/>
    <row r="99" ht="16.5" customHeight="1" x14ac:dyDescent="0.3"/>
    <row r="100" ht="16.5" customHeight="1" x14ac:dyDescent="0.3"/>
    <row r="101" ht="16.5" customHeight="1" x14ac:dyDescent="0.3"/>
    <row r="102" ht="16.5" customHeight="1" x14ac:dyDescent="0.3"/>
    <row r="103" ht="16.5" customHeight="1" x14ac:dyDescent="0.3"/>
    <row r="104" ht="16.5" customHeight="1" x14ac:dyDescent="0.3"/>
    <row r="105" ht="16.5" customHeight="1" x14ac:dyDescent="0.3"/>
    <row r="106" ht="16.5" customHeight="1" x14ac:dyDescent="0.3"/>
    <row r="107" ht="16.5" customHeight="1" x14ac:dyDescent="0.3"/>
    <row r="108" ht="16.5" customHeight="1" x14ac:dyDescent="0.3"/>
    <row r="109" ht="16.5" customHeight="1" x14ac:dyDescent="0.3"/>
    <row r="110" ht="16.5" customHeight="1" x14ac:dyDescent="0.3"/>
    <row r="111" ht="16.5" customHeight="1" x14ac:dyDescent="0.3"/>
    <row r="112" ht="16.5" customHeight="1" x14ac:dyDescent="0.3"/>
    <row r="113" ht="16.5" customHeight="1" x14ac:dyDescent="0.3"/>
    <row r="114" ht="16.5" customHeight="1" x14ac:dyDescent="0.3"/>
    <row r="115" ht="16.5" customHeight="1" x14ac:dyDescent="0.3"/>
    <row r="116" ht="16.5" customHeight="1" x14ac:dyDescent="0.3"/>
    <row r="117" ht="16.5" customHeight="1" x14ac:dyDescent="0.3"/>
    <row r="118" ht="16.5" customHeight="1" x14ac:dyDescent="0.3"/>
    <row r="119" ht="16.5" customHeight="1" x14ac:dyDescent="0.3"/>
    <row r="120" ht="16.5" customHeight="1" x14ac:dyDescent="0.3"/>
    <row r="121" ht="16.5" customHeight="1" x14ac:dyDescent="0.3"/>
    <row r="122" ht="16.5" customHeight="1" x14ac:dyDescent="0.3"/>
    <row r="123" ht="16.5" customHeight="1" x14ac:dyDescent="0.3"/>
    <row r="124" ht="16.5" customHeight="1" x14ac:dyDescent="0.3"/>
    <row r="125" ht="16.5" customHeight="1" x14ac:dyDescent="0.3"/>
    <row r="126" ht="16.5" customHeight="1" x14ac:dyDescent="0.3"/>
    <row r="127" ht="16.5" customHeight="1" x14ac:dyDescent="0.3"/>
    <row r="128" ht="16.5" customHeight="1" x14ac:dyDescent="0.3"/>
    <row r="129" ht="16.5" customHeight="1" x14ac:dyDescent="0.3"/>
    <row r="130" ht="16.5" customHeight="1" x14ac:dyDescent="0.3"/>
    <row r="131" ht="16.5" customHeight="1" x14ac:dyDescent="0.3"/>
    <row r="132" ht="16.5" customHeight="1" x14ac:dyDescent="0.3"/>
    <row r="133" ht="16.5" customHeight="1" x14ac:dyDescent="0.3"/>
    <row r="134" ht="16.5" customHeight="1" x14ac:dyDescent="0.3"/>
    <row r="135" ht="16.5" customHeight="1" x14ac:dyDescent="0.3"/>
    <row r="136" ht="16.5" customHeight="1" x14ac:dyDescent="0.3"/>
    <row r="137" ht="16.5" customHeight="1" x14ac:dyDescent="0.3"/>
    <row r="138" ht="16.5" customHeight="1" x14ac:dyDescent="0.3"/>
    <row r="139" ht="16.5" customHeight="1" x14ac:dyDescent="0.3"/>
    <row r="140" ht="16.5" customHeight="1" x14ac:dyDescent="0.3"/>
    <row r="141" ht="16.5" customHeight="1" x14ac:dyDescent="0.3"/>
    <row r="142" ht="16.5" customHeight="1" x14ac:dyDescent="0.3"/>
    <row r="143" ht="16.5" customHeight="1" x14ac:dyDescent="0.3"/>
    <row r="144" ht="16.5" customHeight="1" x14ac:dyDescent="0.3"/>
    <row r="145" ht="16.5" customHeight="1" x14ac:dyDescent="0.3"/>
    <row r="146" ht="16.5" customHeight="1" x14ac:dyDescent="0.3"/>
    <row r="147" ht="16.5" customHeight="1" x14ac:dyDescent="0.3"/>
    <row r="148" ht="16.5" customHeight="1" x14ac:dyDescent="0.3"/>
    <row r="149" ht="16.5" customHeight="1" x14ac:dyDescent="0.3"/>
    <row r="150" ht="16.5" customHeight="1" x14ac:dyDescent="0.3"/>
    <row r="151" ht="16.5" customHeight="1" x14ac:dyDescent="0.3"/>
    <row r="152" ht="16.5" customHeight="1" x14ac:dyDescent="0.3"/>
    <row r="153" ht="16.5" customHeight="1" x14ac:dyDescent="0.3"/>
    <row r="154" ht="16.5" customHeight="1" x14ac:dyDescent="0.3"/>
    <row r="155" ht="16.5" customHeight="1" x14ac:dyDescent="0.3"/>
    <row r="156" ht="16.5" customHeight="1" x14ac:dyDescent="0.3"/>
    <row r="157" ht="16.5" customHeight="1" x14ac:dyDescent="0.3"/>
    <row r="158" ht="16.5" customHeight="1" x14ac:dyDescent="0.3"/>
    <row r="159" ht="16.5" customHeight="1" x14ac:dyDescent="0.3"/>
    <row r="160" ht="16.5" customHeight="1" x14ac:dyDescent="0.3"/>
    <row r="161" ht="16.5" customHeight="1" x14ac:dyDescent="0.3"/>
    <row r="162" ht="16.5" customHeight="1" x14ac:dyDescent="0.3"/>
    <row r="163" ht="16.5" customHeight="1" x14ac:dyDescent="0.3"/>
    <row r="164" ht="16.5" customHeight="1" x14ac:dyDescent="0.3"/>
    <row r="165" ht="16.5" customHeight="1" x14ac:dyDescent="0.3"/>
    <row r="166" ht="16.5" customHeight="1" x14ac:dyDescent="0.3"/>
    <row r="167" ht="16.5" customHeight="1" x14ac:dyDescent="0.3"/>
    <row r="168" ht="16.5" customHeight="1" x14ac:dyDescent="0.3"/>
    <row r="169" ht="16.5" customHeight="1" x14ac:dyDescent="0.3"/>
    <row r="170" ht="16.5" customHeight="1" x14ac:dyDescent="0.3"/>
    <row r="171" ht="16.5" customHeight="1" x14ac:dyDescent="0.3"/>
    <row r="172" ht="16.5" customHeight="1" x14ac:dyDescent="0.3"/>
    <row r="173" ht="16.5" customHeight="1" x14ac:dyDescent="0.3"/>
    <row r="174" ht="16.5" customHeight="1" x14ac:dyDescent="0.3"/>
    <row r="175" ht="16.5" customHeight="1" x14ac:dyDescent="0.3"/>
    <row r="176" ht="16.5" customHeight="1" x14ac:dyDescent="0.3"/>
    <row r="177" ht="16.5" customHeight="1" x14ac:dyDescent="0.3"/>
    <row r="178" ht="16.5" customHeight="1" x14ac:dyDescent="0.3"/>
    <row r="179" ht="16.5" customHeight="1" x14ac:dyDescent="0.3"/>
    <row r="180" ht="16.5" customHeight="1" x14ac:dyDescent="0.3"/>
    <row r="181" ht="16.5" customHeight="1" x14ac:dyDescent="0.3"/>
    <row r="182" ht="16.5" customHeight="1" x14ac:dyDescent="0.3"/>
    <row r="183" ht="16.5" customHeight="1" x14ac:dyDescent="0.3"/>
    <row r="184" ht="16.5" customHeight="1" x14ac:dyDescent="0.3"/>
    <row r="185" ht="16.5" customHeight="1" x14ac:dyDescent="0.3"/>
    <row r="186" ht="16.5" customHeight="1" x14ac:dyDescent="0.3"/>
    <row r="187" ht="16.5" customHeight="1" x14ac:dyDescent="0.3"/>
    <row r="188" ht="16.5" customHeight="1" x14ac:dyDescent="0.3"/>
    <row r="189" ht="16.5" customHeight="1" x14ac:dyDescent="0.3"/>
    <row r="190" ht="16.5" customHeight="1" x14ac:dyDescent="0.3"/>
    <row r="191" ht="16.5" customHeight="1" x14ac:dyDescent="0.3"/>
    <row r="192" ht="16.5" customHeight="1" x14ac:dyDescent="0.3"/>
    <row r="193" ht="16.5" customHeight="1" x14ac:dyDescent="0.3"/>
    <row r="194" ht="16.5" customHeight="1" x14ac:dyDescent="0.3"/>
    <row r="195" ht="16.5" customHeight="1" x14ac:dyDescent="0.3"/>
    <row r="196" ht="16.5" customHeight="1" x14ac:dyDescent="0.3"/>
    <row r="197" ht="16.5" customHeight="1" x14ac:dyDescent="0.3"/>
    <row r="198" ht="16.5" customHeight="1" x14ac:dyDescent="0.3"/>
    <row r="199" ht="16.5" customHeight="1" x14ac:dyDescent="0.3"/>
    <row r="200" ht="16.5" customHeight="1" x14ac:dyDescent="0.3"/>
    <row r="201" ht="16.5" customHeight="1" x14ac:dyDescent="0.3"/>
    <row r="202" ht="16.5" customHeight="1" x14ac:dyDescent="0.3"/>
    <row r="203" ht="16.5" customHeight="1" x14ac:dyDescent="0.3"/>
    <row r="204" ht="16.5" customHeight="1" x14ac:dyDescent="0.3"/>
    <row r="205" ht="16.5" customHeight="1" x14ac:dyDescent="0.3"/>
    <row r="206" ht="16.5" customHeight="1" x14ac:dyDescent="0.3"/>
    <row r="207" ht="16.5" customHeight="1" x14ac:dyDescent="0.3"/>
    <row r="208" ht="16.5" customHeight="1" x14ac:dyDescent="0.3"/>
    <row r="209" ht="16.5" customHeight="1" x14ac:dyDescent="0.3"/>
    <row r="210" ht="16.5" customHeight="1" x14ac:dyDescent="0.3"/>
    <row r="211" ht="16.5" customHeight="1" x14ac:dyDescent="0.3"/>
    <row r="212" ht="16.5" customHeight="1" x14ac:dyDescent="0.3"/>
    <row r="213" ht="16.5" customHeight="1" x14ac:dyDescent="0.3"/>
    <row r="214" ht="16.5" customHeight="1" x14ac:dyDescent="0.3"/>
    <row r="215" ht="16.5" customHeight="1" x14ac:dyDescent="0.3"/>
    <row r="216" ht="16.5" customHeight="1" x14ac:dyDescent="0.3"/>
    <row r="217" ht="16.5" customHeight="1" x14ac:dyDescent="0.3"/>
    <row r="218" ht="16.5" customHeight="1" x14ac:dyDescent="0.3"/>
    <row r="219" ht="16.5" customHeight="1" x14ac:dyDescent="0.3"/>
    <row r="220" ht="16.5" customHeight="1" x14ac:dyDescent="0.3"/>
    <row r="221" ht="16.5" customHeight="1" x14ac:dyDescent="0.3"/>
    <row r="222" ht="16.5" customHeight="1" x14ac:dyDescent="0.3"/>
    <row r="223" ht="16.5" customHeight="1" x14ac:dyDescent="0.3"/>
    <row r="224" ht="16.5" customHeight="1" x14ac:dyDescent="0.3"/>
    <row r="225" ht="16.5" customHeight="1" x14ac:dyDescent="0.3"/>
    <row r="226" ht="16.5" customHeight="1" x14ac:dyDescent="0.3"/>
    <row r="227" ht="16.5" customHeight="1" x14ac:dyDescent="0.3"/>
    <row r="228" ht="16.5" customHeight="1" x14ac:dyDescent="0.3"/>
    <row r="229" ht="16.5" customHeight="1" x14ac:dyDescent="0.3"/>
    <row r="230" ht="16.5" customHeight="1" x14ac:dyDescent="0.3"/>
    <row r="231" ht="16.5" customHeight="1" x14ac:dyDescent="0.3"/>
    <row r="232" ht="16.5" customHeight="1" x14ac:dyDescent="0.3"/>
    <row r="233" ht="16.5" customHeight="1" x14ac:dyDescent="0.3"/>
    <row r="234" ht="16.5" customHeight="1" x14ac:dyDescent="0.3"/>
    <row r="235" ht="16.5" customHeight="1" x14ac:dyDescent="0.3"/>
    <row r="236" ht="16.5" customHeight="1" x14ac:dyDescent="0.3"/>
    <row r="237" ht="16.5" customHeight="1" x14ac:dyDescent="0.3"/>
    <row r="238" ht="16.5" customHeight="1" x14ac:dyDescent="0.3"/>
    <row r="239" ht="16.5" customHeight="1" x14ac:dyDescent="0.3"/>
    <row r="240" ht="16.5" customHeight="1" x14ac:dyDescent="0.3"/>
    <row r="241" ht="16.5" customHeight="1" x14ac:dyDescent="0.3"/>
    <row r="242" ht="16.5" customHeight="1" x14ac:dyDescent="0.3"/>
    <row r="243" ht="16.5" customHeight="1" x14ac:dyDescent="0.3"/>
    <row r="244" ht="16.5" customHeight="1" x14ac:dyDescent="0.3"/>
    <row r="245" ht="16.5" customHeight="1" x14ac:dyDescent="0.3"/>
    <row r="246" ht="16.5" customHeight="1" x14ac:dyDescent="0.3"/>
    <row r="247" ht="16.5" customHeight="1" x14ac:dyDescent="0.3"/>
    <row r="248" ht="16.5" customHeight="1" x14ac:dyDescent="0.3"/>
    <row r="249" ht="16.5" customHeight="1" x14ac:dyDescent="0.3"/>
    <row r="250" ht="16.5" customHeight="1" x14ac:dyDescent="0.3"/>
    <row r="251" ht="16.5" customHeight="1" x14ac:dyDescent="0.3"/>
    <row r="252" ht="16.5" customHeight="1" x14ac:dyDescent="0.3"/>
    <row r="253" ht="16.5" customHeight="1" x14ac:dyDescent="0.3"/>
    <row r="254" ht="16.5" customHeight="1" x14ac:dyDescent="0.3"/>
    <row r="255" ht="16.5" customHeight="1" x14ac:dyDescent="0.3"/>
    <row r="256" ht="16.5" customHeight="1" x14ac:dyDescent="0.3"/>
    <row r="257" ht="16.5" customHeight="1" x14ac:dyDescent="0.3"/>
    <row r="258" ht="16.5" customHeight="1" x14ac:dyDescent="0.3"/>
    <row r="259" ht="16.5" customHeight="1" x14ac:dyDescent="0.3"/>
    <row r="260" ht="16.5" customHeight="1" x14ac:dyDescent="0.3"/>
    <row r="261" ht="16.5" customHeight="1" x14ac:dyDescent="0.3"/>
    <row r="262" ht="16.5" customHeight="1" x14ac:dyDescent="0.3"/>
    <row r="263" ht="16.5" customHeight="1" x14ac:dyDescent="0.3"/>
    <row r="264" ht="16.5" customHeight="1" x14ac:dyDescent="0.3"/>
    <row r="265" ht="16.5" customHeight="1" x14ac:dyDescent="0.3"/>
    <row r="266" ht="16.5" customHeight="1" x14ac:dyDescent="0.3"/>
    <row r="267" ht="16.5" customHeight="1" x14ac:dyDescent="0.3"/>
    <row r="268" ht="16.5" customHeight="1" x14ac:dyDescent="0.3"/>
    <row r="269" ht="16.5" customHeight="1" x14ac:dyDescent="0.3"/>
    <row r="270" ht="16.5" customHeight="1" x14ac:dyDescent="0.3"/>
    <row r="271" ht="16.5" customHeight="1" x14ac:dyDescent="0.3"/>
    <row r="272" ht="16.5" customHeight="1" x14ac:dyDescent="0.3"/>
    <row r="273" ht="16.5" customHeight="1" x14ac:dyDescent="0.3"/>
    <row r="274" ht="16.5" customHeight="1" x14ac:dyDescent="0.3"/>
    <row r="275" ht="16.5" customHeight="1" x14ac:dyDescent="0.3"/>
    <row r="276" ht="16.5" customHeight="1" x14ac:dyDescent="0.3"/>
    <row r="277" ht="16.5" customHeight="1" x14ac:dyDescent="0.3"/>
    <row r="278" ht="16.5" customHeight="1" x14ac:dyDescent="0.3"/>
    <row r="279" ht="16.5" customHeight="1" x14ac:dyDescent="0.3"/>
    <row r="280" ht="16.5" customHeight="1" x14ac:dyDescent="0.3"/>
    <row r="281" ht="16.5" customHeight="1" x14ac:dyDescent="0.3"/>
    <row r="282" ht="16.5" customHeight="1" x14ac:dyDescent="0.3"/>
    <row r="283" ht="16.5" customHeight="1" x14ac:dyDescent="0.3"/>
    <row r="284" ht="16.5" customHeight="1" x14ac:dyDescent="0.3"/>
    <row r="285" ht="16.5" customHeight="1" x14ac:dyDescent="0.3"/>
    <row r="286" ht="16.5" customHeight="1" x14ac:dyDescent="0.3"/>
    <row r="287" ht="16.5" customHeight="1" x14ac:dyDescent="0.3"/>
    <row r="288" ht="16.5" customHeight="1" x14ac:dyDescent="0.3"/>
    <row r="289" ht="16.5" customHeight="1" x14ac:dyDescent="0.3"/>
    <row r="290" ht="16.5" customHeight="1" x14ac:dyDescent="0.3"/>
    <row r="291" ht="16.5" customHeight="1" x14ac:dyDescent="0.3"/>
    <row r="292" ht="16.5" customHeight="1" x14ac:dyDescent="0.3"/>
    <row r="293" ht="16.5" customHeight="1" x14ac:dyDescent="0.3"/>
    <row r="294" ht="16.5" customHeight="1" x14ac:dyDescent="0.3"/>
    <row r="295" ht="16.5" customHeight="1" x14ac:dyDescent="0.3"/>
    <row r="296" ht="16.5" customHeight="1" x14ac:dyDescent="0.3"/>
    <row r="297" ht="16.5" customHeight="1" x14ac:dyDescent="0.3"/>
    <row r="298" ht="16.5" customHeight="1" x14ac:dyDescent="0.3"/>
    <row r="299" ht="16.5" customHeight="1" x14ac:dyDescent="0.3"/>
    <row r="300" ht="16.5" customHeight="1" x14ac:dyDescent="0.3"/>
    <row r="301" ht="16.5" customHeight="1" x14ac:dyDescent="0.3"/>
    <row r="302" ht="16.5" customHeight="1" x14ac:dyDescent="0.3"/>
    <row r="303" ht="16.5" customHeight="1" x14ac:dyDescent="0.3"/>
    <row r="304" ht="16.5" customHeight="1" x14ac:dyDescent="0.3"/>
    <row r="305" ht="16.5" customHeight="1" x14ac:dyDescent="0.3"/>
    <row r="306" ht="16.5" customHeight="1" x14ac:dyDescent="0.3"/>
    <row r="307" ht="16.5" customHeight="1" x14ac:dyDescent="0.3"/>
    <row r="308" ht="16.5" customHeight="1" x14ac:dyDescent="0.3"/>
    <row r="309" ht="16.5" customHeight="1" x14ac:dyDescent="0.3"/>
    <row r="310" ht="16.5" customHeight="1" x14ac:dyDescent="0.3"/>
    <row r="311" ht="16.5" customHeight="1" x14ac:dyDescent="0.3"/>
    <row r="312" ht="16.5" customHeight="1" x14ac:dyDescent="0.3"/>
    <row r="313" ht="16.5" customHeight="1" x14ac:dyDescent="0.3"/>
    <row r="314" ht="16.5" customHeight="1" x14ac:dyDescent="0.3"/>
    <row r="315" ht="16.5" customHeight="1" x14ac:dyDescent="0.3"/>
    <row r="316" ht="16.5" customHeight="1" x14ac:dyDescent="0.3"/>
    <row r="317" ht="16.5" customHeight="1" x14ac:dyDescent="0.3"/>
    <row r="318" ht="16.5" customHeight="1" x14ac:dyDescent="0.3"/>
    <row r="319" ht="16.5" customHeight="1" x14ac:dyDescent="0.3"/>
    <row r="320" ht="16.5" customHeight="1" x14ac:dyDescent="0.3"/>
    <row r="321" ht="16.5" customHeight="1" x14ac:dyDescent="0.3"/>
    <row r="322" ht="16.5" customHeight="1" x14ac:dyDescent="0.3"/>
    <row r="323" ht="16.5" customHeight="1" x14ac:dyDescent="0.3"/>
    <row r="324" ht="16.5" customHeight="1" x14ac:dyDescent="0.3"/>
    <row r="325" ht="16.5" customHeight="1" x14ac:dyDescent="0.3"/>
    <row r="326" ht="16.5" customHeight="1" x14ac:dyDescent="0.3"/>
    <row r="327" ht="16.5" customHeight="1" x14ac:dyDescent="0.3"/>
    <row r="328" ht="16.5" customHeight="1" x14ac:dyDescent="0.3"/>
    <row r="329" ht="16.5" customHeight="1" x14ac:dyDescent="0.3"/>
    <row r="330" ht="16.5" customHeight="1" x14ac:dyDescent="0.3"/>
    <row r="331" ht="16.5" customHeight="1" x14ac:dyDescent="0.3"/>
    <row r="332" ht="16.5" customHeight="1" x14ac:dyDescent="0.3"/>
    <row r="333" ht="16.5" customHeight="1" x14ac:dyDescent="0.3"/>
    <row r="334" ht="16.5" customHeight="1" x14ac:dyDescent="0.3"/>
    <row r="335" ht="16.5" customHeight="1" x14ac:dyDescent="0.3"/>
    <row r="336" ht="16.5" customHeight="1" x14ac:dyDescent="0.3"/>
    <row r="337" ht="16.5" customHeight="1" x14ac:dyDescent="0.3"/>
    <row r="338" ht="16.5" customHeight="1" x14ac:dyDescent="0.3"/>
    <row r="339" ht="16.5" customHeight="1" x14ac:dyDescent="0.3"/>
    <row r="340" ht="16.5" customHeight="1" x14ac:dyDescent="0.3"/>
    <row r="341" ht="16.5" customHeight="1" x14ac:dyDescent="0.3"/>
    <row r="342" ht="16.5" customHeight="1" x14ac:dyDescent="0.3"/>
    <row r="343" ht="16.5" customHeight="1" x14ac:dyDescent="0.3"/>
    <row r="344" ht="16.5" customHeight="1" x14ac:dyDescent="0.3"/>
    <row r="345" ht="16.5" customHeight="1" x14ac:dyDescent="0.3"/>
    <row r="346" ht="16.5" customHeight="1" x14ac:dyDescent="0.3"/>
    <row r="347" ht="16.5" customHeight="1" x14ac:dyDescent="0.3"/>
    <row r="348" ht="16.5" customHeight="1" x14ac:dyDescent="0.3"/>
    <row r="349" ht="16.5" customHeight="1" x14ac:dyDescent="0.3"/>
    <row r="350" ht="16.5" customHeight="1" x14ac:dyDescent="0.3"/>
    <row r="351" ht="16.5" customHeight="1" x14ac:dyDescent="0.3"/>
    <row r="352" ht="16.5" customHeight="1" x14ac:dyDescent="0.3"/>
    <row r="353" ht="16.5" customHeight="1" x14ac:dyDescent="0.3"/>
    <row r="354" ht="16.5" customHeight="1" x14ac:dyDescent="0.3"/>
    <row r="355" ht="16.5" customHeight="1" x14ac:dyDescent="0.3"/>
    <row r="356" ht="16.5" customHeight="1" x14ac:dyDescent="0.3"/>
    <row r="357" ht="16.5" customHeight="1" x14ac:dyDescent="0.3"/>
    <row r="358" ht="16.5" customHeight="1" x14ac:dyDescent="0.3"/>
    <row r="359" ht="16.5" customHeight="1" x14ac:dyDescent="0.3"/>
    <row r="360" ht="16.5" customHeight="1" x14ac:dyDescent="0.3"/>
    <row r="361" ht="16.5" customHeight="1" x14ac:dyDescent="0.3"/>
    <row r="362" ht="16.5" customHeight="1" x14ac:dyDescent="0.3"/>
    <row r="363" ht="16.5" customHeight="1" x14ac:dyDescent="0.3"/>
    <row r="364" ht="16.5" customHeight="1" x14ac:dyDescent="0.3"/>
    <row r="365" ht="16.5" customHeight="1" x14ac:dyDescent="0.3"/>
    <row r="366" ht="16.5" customHeight="1" x14ac:dyDescent="0.3"/>
    <row r="367" ht="16.5" customHeight="1" x14ac:dyDescent="0.3"/>
    <row r="368" ht="16.5" customHeight="1" x14ac:dyDescent="0.3"/>
    <row r="369" ht="16.5" customHeight="1" x14ac:dyDescent="0.3"/>
    <row r="370" ht="16.5" customHeight="1" x14ac:dyDescent="0.3"/>
    <row r="371" ht="16.5" customHeight="1" x14ac:dyDescent="0.3"/>
    <row r="372" ht="16.5" customHeight="1" x14ac:dyDescent="0.3"/>
    <row r="373" ht="16.5" customHeight="1" x14ac:dyDescent="0.3"/>
    <row r="374" ht="16.5" customHeight="1" x14ac:dyDescent="0.3"/>
    <row r="375" ht="16.5" customHeight="1" x14ac:dyDescent="0.3"/>
    <row r="376" ht="16.5" customHeight="1" x14ac:dyDescent="0.3"/>
    <row r="377" ht="16.5" customHeight="1" x14ac:dyDescent="0.3"/>
    <row r="378" ht="16.5" customHeight="1" x14ac:dyDescent="0.3"/>
    <row r="379" ht="16.5" customHeight="1" x14ac:dyDescent="0.3"/>
    <row r="380" ht="16.5" customHeight="1" x14ac:dyDescent="0.3"/>
    <row r="381" ht="16.5" customHeight="1" x14ac:dyDescent="0.3"/>
    <row r="382" ht="16.5" customHeight="1" x14ac:dyDescent="0.3"/>
    <row r="383" ht="16.5" customHeight="1" x14ac:dyDescent="0.3"/>
    <row r="384" ht="16.5" customHeight="1" x14ac:dyDescent="0.3"/>
    <row r="385" ht="16.5" customHeight="1" x14ac:dyDescent="0.3"/>
    <row r="386" ht="16.5" customHeight="1" x14ac:dyDescent="0.3"/>
    <row r="387" ht="16.5" customHeight="1" x14ac:dyDescent="0.3"/>
    <row r="388" ht="16.5" customHeight="1" x14ac:dyDescent="0.3"/>
    <row r="389" ht="16.5" customHeight="1" x14ac:dyDescent="0.3"/>
    <row r="390" ht="16.5" customHeight="1" x14ac:dyDescent="0.3"/>
    <row r="391" ht="16.5" customHeight="1" x14ac:dyDescent="0.3"/>
    <row r="392" ht="16.5" customHeight="1" x14ac:dyDescent="0.3"/>
    <row r="393" ht="16.5" customHeight="1" x14ac:dyDescent="0.3"/>
    <row r="394" ht="16.5" customHeight="1" x14ac:dyDescent="0.3"/>
    <row r="395" ht="16.5" customHeight="1" x14ac:dyDescent="0.3"/>
    <row r="396" ht="16.5" customHeight="1" x14ac:dyDescent="0.3"/>
    <row r="397" ht="16.5" customHeight="1" x14ac:dyDescent="0.3"/>
    <row r="398" ht="16.5" customHeight="1" x14ac:dyDescent="0.3"/>
    <row r="399" ht="16.5" customHeight="1" x14ac:dyDescent="0.3"/>
    <row r="400" ht="16.5" customHeight="1" x14ac:dyDescent="0.3"/>
    <row r="401" ht="16.5" customHeight="1" x14ac:dyDescent="0.3"/>
    <row r="402" ht="16.5" customHeight="1" x14ac:dyDescent="0.3"/>
    <row r="403" ht="16.5" customHeight="1" x14ac:dyDescent="0.3"/>
    <row r="404" ht="16.5" customHeight="1" x14ac:dyDescent="0.3"/>
    <row r="405" ht="16.5" customHeight="1" x14ac:dyDescent="0.3"/>
    <row r="406" ht="16.5" customHeight="1" x14ac:dyDescent="0.3"/>
    <row r="407" ht="16.5" customHeight="1" x14ac:dyDescent="0.3"/>
    <row r="408" ht="16.5" customHeight="1" x14ac:dyDescent="0.3"/>
    <row r="409" ht="16.5" customHeight="1" x14ac:dyDescent="0.3"/>
    <row r="410" ht="16.5" customHeight="1" x14ac:dyDescent="0.3"/>
    <row r="411" ht="16.5" customHeight="1" x14ac:dyDescent="0.3"/>
    <row r="412" ht="16.5" customHeight="1" x14ac:dyDescent="0.3"/>
    <row r="413" ht="16.5" customHeight="1" x14ac:dyDescent="0.3"/>
    <row r="414" ht="16.5" customHeight="1" x14ac:dyDescent="0.3"/>
    <row r="415" ht="16.5" customHeight="1" x14ac:dyDescent="0.3"/>
    <row r="416" ht="16.5" customHeight="1" x14ac:dyDescent="0.3"/>
    <row r="417" ht="16.5" customHeight="1" x14ac:dyDescent="0.3"/>
    <row r="418" ht="16.5" customHeight="1" x14ac:dyDescent="0.3"/>
    <row r="419" ht="16.5" customHeight="1" x14ac:dyDescent="0.3"/>
    <row r="420" ht="16.5" customHeight="1" x14ac:dyDescent="0.3"/>
    <row r="421" ht="16.5" customHeight="1" x14ac:dyDescent="0.3"/>
    <row r="422" ht="16.5" customHeight="1" x14ac:dyDescent="0.3"/>
    <row r="423" ht="16.5" customHeight="1" x14ac:dyDescent="0.3"/>
    <row r="424" ht="16.5" customHeight="1" x14ac:dyDescent="0.3"/>
    <row r="425" ht="16.5" customHeight="1" x14ac:dyDescent="0.3"/>
    <row r="426" ht="16.5" customHeight="1" x14ac:dyDescent="0.3"/>
    <row r="427" ht="16.5" customHeight="1" x14ac:dyDescent="0.3"/>
    <row r="428" ht="16.5" customHeight="1" x14ac:dyDescent="0.3"/>
    <row r="429" ht="16.5" customHeight="1" x14ac:dyDescent="0.3"/>
    <row r="430" ht="16.5" customHeight="1" x14ac:dyDescent="0.3"/>
    <row r="431" ht="16.5" customHeight="1" x14ac:dyDescent="0.3"/>
    <row r="432" ht="16.5" customHeight="1" x14ac:dyDescent="0.3"/>
    <row r="433" ht="16.5" customHeight="1" x14ac:dyDescent="0.3"/>
    <row r="434" ht="16.5" customHeight="1" x14ac:dyDescent="0.3"/>
    <row r="435" ht="16.5" customHeight="1" x14ac:dyDescent="0.3"/>
    <row r="436" ht="16.5" customHeight="1" x14ac:dyDescent="0.3"/>
    <row r="437" ht="16.5" customHeight="1" x14ac:dyDescent="0.3"/>
    <row r="438" ht="16.5" customHeight="1" x14ac:dyDescent="0.3"/>
    <row r="439" ht="16.5" customHeight="1" x14ac:dyDescent="0.3"/>
    <row r="440" ht="16.5" customHeight="1" x14ac:dyDescent="0.3"/>
    <row r="441" ht="16.5" customHeight="1" x14ac:dyDescent="0.3"/>
    <row r="442" ht="16.5" customHeight="1" x14ac:dyDescent="0.3"/>
    <row r="443" ht="16.5" customHeight="1" x14ac:dyDescent="0.3"/>
    <row r="444" ht="16.5" customHeight="1" x14ac:dyDescent="0.3"/>
    <row r="445" ht="16.5" customHeight="1" x14ac:dyDescent="0.3"/>
    <row r="446" ht="16.5" customHeight="1" x14ac:dyDescent="0.3"/>
    <row r="447" ht="16.5" customHeight="1" x14ac:dyDescent="0.3"/>
    <row r="448" ht="16.5" customHeight="1" x14ac:dyDescent="0.3"/>
    <row r="449" ht="16.5" customHeight="1" x14ac:dyDescent="0.3"/>
    <row r="450" ht="16.5" customHeight="1" x14ac:dyDescent="0.3"/>
    <row r="451" ht="16.5" customHeight="1" x14ac:dyDescent="0.3"/>
    <row r="452" ht="16.5" customHeight="1" x14ac:dyDescent="0.3"/>
    <row r="453" ht="16.5" customHeight="1" x14ac:dyDescent="0.3"/>
    <row r="454" ht="16.5" customHeight="1" x14ac:dyDescent="0.3"/>
    <row r="455" ht="16.5" customHeight="1" x14ac:dyDescent="0.3"/>
    <row r="456" ht="16.5" customHeight="1" x14ac:dyDescent="0.3"/>
    <row r="457" ht="16.5" customHeight="1" x14ac:dyDescent="0.3"/>
    <row r="458" ht="16.5" customHeight="1" x14ac:dyDescent="0.3"/>
    <row r="459" ht="16.5" customHeight="1" x14ac:dyDescent="0.3"/>
    <row r="460" ht="16.5" customHeight="1" x14ac:dyDescent="0.3"/>
    <row r="461" ht="16.5" customHeight="1" x14ac:dyDescent="0.3"/>
    <row r="462" ht="16.5" customHeight="1" x14ac:dyDescent="0.3"/>
    <row r="463" ht="16.5" customHeight="1" x14ac:dyDescent="0.3"/>
    <row r="464" ht="16.5" customHeight="1" x14ac:dyDescent="0.3"/>
    <row r="465" ht="16.5" customHeight="1" x14ac:dyDescent="0.3"/>
    <row r="466" ht="16.5" customHeight="1" x14ac:dyDescent="0.3"/>
    <row r="467" ht="16.5" customHeight="1" x14ac:dyDescent="0.3"/>
    <row r="468" ht="16.5" customHeight="1" x14ac:dyDescent="0.3"/>
    <row r="469" ht="16.5" customHeight="1" x14ac:dyDescent="0.3"/>
    <row r="470" ht="16.5" customHeight="1" x14ac:dyDescent="0.3"/>
    <row r="471" ht="16.5" customHeight="1" x14ac:dyDescent="0.3"/>
    <row r="472" ht="16.5" customHeight="1" x14ac:dyDescent="0.3"/>
    <row r="473" ht="16.5" customHeight="1" x14ac:dyDescent="0.3"/>
    <row r="474" ht="16.5" customHeight="1" x14ac:dyDescent="0.3"/>
    <row r="475" ht="16.5" customHeight="1" x14ac:dyDescent="0.3"/>
    <row r="476" ht="16.5" customHeight="1" x14ac:dyDescent="0.3"/>
    <row r="477" ht="16.5" customHeight="1" x14ac:dyDescent="0.3"/>
    <row r="478" ht="16.5" customHeight="1" x14ac:dyDescent="0.3"/>
    <row r="479" ht="16.5" customHeight="1" x14ac:dyDescent="0.3"/>
    <row r="480" ht="16.5" customHeight="1" x14ac:dyDescent="0.3"/>
    <row r="481" ht="16.5" customHeight="1" x14ac:dyDescent="0.3"/>
    <row r="482" ht="16.5" customHeight="1" x14ac:dyDescent="0.3"/>
    <row r="483" ht="16.5" customHeight="1" x14ac:dyDescent="0.3"/>
    <row r="484" ht="16.5" customHeight="1" x14ac:dyDescent="0.3"/>
    <row r="485" ht="16.5" customHeight="1" x14ac:dyDescent="0.3"/>
    <row r="486" ht="16.5" customHeight="1" x14ac:dyDescent="0.3"/>
    <row r="487" ht="16.5" customHeight="1" x14ac:dyDescent="0.3"/>
    <row r="488" ht="16.5" customHeight="1" x14ac:dyDescent="0.3"/>
    <row r="489" ht="16.5" customHeight="1" x14ac:dyDescent="0.3"/>
    <row r="490" ht="16.5" customHeight="1" x14ac:dyDescent="0.3"/>
    <row r="491" ht="16.5" customHeight="1" x14ac:dyDescent="0.3"/>
    <row r="492" ht="16.5" customHeight="1" x14ac:dyDescent="0.3"/>
    <row r="493" ht="16.5" customHeight="1" x14ac:dyDescent="0.3"/>
    <row r="494" ht="16.5" customHeight="1" x14ac:dyDescent="0.3"/>
    <row r="495" ht="16.5" customHeight="1" x14ac:dyDescent="0.3"/>
    <row r="496" ht="16.5" customHeight="1" x14ac:dyDescent="0.3"/>
    <row r="497" ht="16.5" customHeight="1" x14ac:dyDescent="0.3"/>
    <row r="498" ht="16.5" customHeight="1" x14ac:dyDescent="0.3"/>
    <row r="499" ht="16.5" customHeight="1" x14ac:dyDescent="0.3"/>
    <row r="500" ht="16.5" customHeight="1" x14ac:dyDescent="0.3"/>
    <row r="501" ht="16.5" customHeight="1" x14ac:dyDescent="0.3"/>
    <row r="502" ht="16.5" customHeight="1" x14ac:dyDescent="0.3"/>
    <row r="503" ht="16.5" customHeight="1" x14ac:dyDescent="0.3"/>
    <row r="504" ht="16.5" customHeight="1" x14ac:dyDescent="0.3"/>
    <row r="505" ht="16.5" customHeight="1" x14ac:dyDescent="0.3"/>
    <row r="506" ht="16.5" customHeight="1" x14ac:dyDescent="0.3"/>
    <row r="507" ht="16.5" customHeight="1" x14ac:dyDescent="0.3"/>
    <row r="508" ht="16.5" customHeight="1" x14ac:dyDescent="0.3"/>
    <row r="509" ht="16.5" customHeight="1" x14ac:dyDescent="0.3"/>
    <row r="510" ht="16.5" customHeight="1" x14ac:dyDescent="0.3"/>
    <row r="511" ht="16.5" customHeight="1" x14ac:dyDescent="0.3"/>
    <row r="512" ht="16.5" customHeight="1" x14ac:dyDescent="0.3"/>
    <row r="513" ht="16.5" customHeight="1" x14ac:dyDescent="0.3"/>
    <row r="514" ht="16.5" customHeight="1" x14ac:dyDescent="0.3"/>
    <row r="515" ht="16.5" customHeight="1" x14ac:dyDescent="0.3"/>
    <row r="516" ht="16.5" customHeight="1" x14ac:dyDescent="0.3"/>
    <row r="517" ht="16.5" customHeight="1" x14ac:dyDescent="0.3"/>
    <row r="518" ht="16.5" customHeight="1" x14ac:dyDescent="0.3"/>
    <row r="519" ht="16.5" customHeight="1" x14ac:dyDescent="0.3"/>
    <row r="520" ht="16.5" customHeight="1" x14ac:dyDescent="0.3"/>
    <row r="521" ht="16.5" customHeight="1" x14ac:dyDescent="0.3"/>
    <row r="522" ht="16.5" customHeight="1" x14ac:dyDescent="0.3"/>
    <row r="523" ht="16.5" customHeight="1" x14ac:dyDescent="0.3"/>
    <row r="524" ht="16.5" customHeight="1" x14ac:dyDescent="0.3"/>
    <row r="525" ht="16.5" customHeight="1" x14ac:dyDescent="0.3"/>
    <row r="526" ht="16.5" customHeight="1" x14ac:dyDescent="0.3"/>
    <row r="527" ht="16.5" customHeight="1" x14ac:dyDescent="0.3"/>
    <row r="528" ht="16.5" customHeight="1" x14ac:dyDescent="0.3"/>
    <row r="529" ht="16.5" customHeight="1" x14ac:dyDescent="0.3"/>
    <row r="530" ht="16.5" customHeight="1" x14ac:dyDescent="0.3"/>
    <row r="531" ht="16.5" customHeight="1" x14ac:dyDescent="0.3"/>
    <row r="532" ht="16.5" customHeight="1" x14ac:dyDescent="0.3"/>
    <row r="533" ht="16.5" customHeight="1" x14ac:dyDescent="0.3"/>
    <row r="534" ht="16.5" customHeight="1" x14ac:dyDescent="0.3"/>
    <row r="535" ht="16.5" customHeight="1" x14ac:dyDescent="0.3"/>
    <row r="536" ht="16.5" customHeight="1" x14ac:dyDescent="0.3"/>
    <row r="537" ht="16.5" customHeight="1" x14ac:dyDescent="0.3"/>
    <row r="538" ht="16.5" customHeight="1" x14ac:dyDescent="0.3"/>
    <row r="539" ht="16.5" customHeight="1" x14ac:dyDescent="0.3"/>
    <row r="540" ht="16.5" customHeight="1" x14ac:dyDescent="0.3"/>
    <row r="541" ht="16.5" customHeight="1" x14ac:dyDescent="0.3"/>
    <row r="542" ht="16.5" customHeight="1" x14ac:dyDescent="0.3"/>
    <row r="543" ht="16.5" customHeight="1" x14ac:dyDescent="0.3"/>
    <row r="544" ht="16.5" customHeight="1" x14ac:dyDescent="0.3"/>
    <row r="545" ht="16.5" customHeight="1" x14ac:dyDescent="0.3"/>
    <row r="546" ht="16.5" customHeight="1" x14ac:dyDescent="0.3"/>
    <row r="547" ht="16.5" customHeight="1" x14ac:dyDescent="0.3"/>
    <row r="548" ht="16.5" customHeight="1" x14ac:dyDescent="0.3"/>
    <row r="549" ht="16.5" customHeight="1" x14ac:dyDescent="0.3"/>
    <row r="550" ht="16.5" customHeight="1" x14ac:dyDescent="0.3"/>
    <row r="551" ht="16.5" customHeight="1" x14ac:dyDescent="0.3"/>
    <row r="552" ht="16.5" customHeight="1" x14ac:dyDescent="0.3"/>
    <row r="553" ht="16.5" customHeight="1" x14ac:dyDescent="0.3"/>
    <row r="554" ht="16.5" customHeight="1" x14ac:dyDescent="0.3"/>
    <row r="555" ht="16.5" customHeight="1" x14ac:dyDescent="0.3"/>
    <row r="556" ht="14.4" x14ac:dyDescent="0.3"/>
    <row r="557" ht="14.4" x14ac:dyDescent="0.3"/>
    <row r="558" ht="14.4" x14ac:dyDescent="0.3"/>
    <row r="559" ht="14.4" x14ac:dyDescent="0.3"/>
    <row r="560" ht="14.4" x14ac:dyDescent="0.3"/>
    <row r="561" ht="14.4" x14ac:dyDescent="0.3"/>
    <row r="562" ht="14.4" x14ac:dyDescent="0.3"/>
    <row r="563" ht="14.4" x14ac:dyDescent="0.3"/>
    <row r="564" ht="14.4" x14ac:dyDescent="0.3"/>
    <row r="565" ht="14.4" x14ac:dyDescent="0.3"/>
    <row r="566" ht="14.4" x14ac:dyDescent="0.3"/>
    <row r="567" ht="14.4" x14ac:dyDescent="0.3"/>
    <row r="568" ht="14.4" x14ac:dyDescent="0.3"/>
    <row r="569" ht="14.4" x14ac:dyDescent="0.3"/>
    <row r="570" ht="14.4" x14ac:dyDescent="0.3"/>
    <row r="571" ht="14.4" x14ac:dyDescent="0.3"/>
    <row r="572" ht="14.4" x14ac:dyDescent="0.3"/>
    <row r="573" ht="14.4" x14ac:dyDescent="0.3"/>
    <row r="574" ht="14.4" x14ac:dyDescent="0.3"/>
    <row r="575" ht="14.4" x14ac:dyDescent="0.3"/>
    <row r="576" ht="14.4" x14ac:dyDescent="0.3"/>
    <row r="577" ht="14.4" x14ac:dyDescent="0.3"/>
    <row r="578" ht="14.4" x14ac:dyDescent="0.3"/>
    <row r="579" ht="14.4" x14ac:dyDescent="0.3"/>
    <row r="580" ht="14.4" x14ac:dyDescent="0.3"/>
    <row r="581" ht="14.4" x14ac:dyDescent="0.3"/>
    <row r="583" ht="14.55" customHeight="1" x14ac:dyDescent="0.3"/>
    <row r="584" ht="14.55" customHeight="1" x14ac:dyDescent="0.3"/>
    <row r="585" ht="14.55" customHeight="1" x14ac:dyDescent="0.3"/>
    <row r="586" ht="14.55" customHeight="1" x14ac:dyDescent="0.3"/>
    <row r="587" ht="14.55" customHeight="1" x14ac:dyDescent="0.3"/>
    <row r="588" ht="14.55" customHeight="1" x14ac:dyDescent="0.3"/>
    <row r="589" ht="14.55" customHeight="1" x14ac:dyDescent="0.3"/>
    <row r="590" ht="14.55" customHeight="1" x14ac:dyDescent="0.3"/>
    <row r="591" ht="14.55" customHeight="1" x14ac:dyDescent="0.3"/>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02CFD-3DBF-461A-BAA5-6511AF78DE4C}">
  <sheetPr codeName="Sheet21">
    <tabColor rgb="FFF4D4D4"/>
  </sheetPr>
  <dimension ref="A1:V308"/>
  <sheetViews>
    <sheetView showGridLines="0" showRowColHeaders="0" zoomScale="80" zoomScaleNormal="80" workbookViewId="0">
      <selection activeCell="B1" sqref="B1"/>
    </sheetView>
  </sheetViews>
  <sheetFormatPr defaultColWidth="0" defaultRowHeight="0" customHeight="1" zeroHeight="1" x14ac:dyDescent="0.25"/>
  <cols>
    <col min="1" max="1" width="17" style="30" customWidth="1"/>
    <col min="2" max="2" width="104.77734375" style="30" bestFit="1" customWidth="1"/>
    <col min="3" max="3" width="24.44140625" style="30" bestFit="1" customWidth="1"/>
    <col min="4" max="4" width="12.77734375" style="30" customWidth="1"/>
    <col min="5" max="5" width="12.44140625" style="30" customWidth="1"/>
    <col min="6" max="6" width="18.21875" style="30" customWidth="1"/>
    <col min="7" max="7" width="31" style="30" customWidth="1"/>
    <col min="8" max="8" width="27.77734375" style="30" customWidth="1"/>
    <col min="9" max="9" width="49.44140625" style="30" customWidth="1"/>
    <col min="10" max="10" width="10.77734375" style="30" customWidth="1"/>
    <col min="11" max="11" width="2" style="30" customWidth="1"/>
    <col min="12" max="12" width="2.5546875" style="30" customWidth="1"/>
    <col min="13" max="13" width="4.21875" style="30" customWidth="1"/>
    <col min="14" max="16" width="9.21875" style="30" customWidth="1"/>
    <col min="17" max="17" width="10.5546875" style="30" customWidth="1"/>
    <col min="18" max="20" width="9.21875" style="30" customWidth="1"/>
    <col min="21" max="22" width="0" style="30" hidden="1" customWidth="1"/>
    <col min="23" max="16384" width="9.21875" style="30" hidden="1"/>
  </cols>
  <sheetData>
    <row r="1" spans="1:17" ht="15" thickBot="1" x14ac:dyDescent="0.3">
      <c r="A1" s="333"/>
      <c r="B1" s="32"/>
      <c r="C1" s="32"/>
      <c r="D1" s="32"/>
      <c r="E1" s="32"/>
      <c r="G1" s="32"/>
      <c r="H1" s="32"/>
      <c r="I1" s="32"/>
      <c r="J1" s="32"/>
      <c r="K1" s="32"/>
      <c r="L1" s="32"/>
      <c r="M1" s="32"/>
      <c r="N1" s="32"/>
      <c r="O1" s="32"/>
      <c r="P1" s="32"/>
      <c r="Q1" s="32"/>
    </row>
    <row r="2" spans="1:17" ht="25.8" thickBot="1" x14ac:dyDescent="0.3">
      <c r="A2" s="32"/>
      <c r="B2" s="1337" t="s">
        <v>207</v>
      </c>
      <c r="C2" s="1338"/>
      <c r="D2" s="1338"/>
      <c r="E2" s="1338"/>
      <c r="F2" s="1338"/>
      <c r="G2" s="1338"/>
      <c r="H2" s="1339"/>
      <c r="I2" s="32"/>
      <c r="J2" s="32"/>
      <c r="K2" s="32"/>
      <c r="L2" s="32"/>
      <c r="M2" s="32"/>
      <c r="N2" s="32"/>
      <c r="O2" s="32"/>
      <c r="P2" s="32"/>
      <c r="Q2" s="32"/>
    </row>
    <row r="3" spans="1:17" ht="15" customHeight="1" x14ac:dyDescent="0.25">
      <c r="A3" s="32"/>
      <c r="B3" s="1310" t="s">
        <v>208</v>
      </c>
      <c r="C3" s="1312" t="s">
        <v>209</v>
      </c>
      <c r="D3" s="1312"/>
      <c r="E3" s="1312"/>
      <c r="F3" s="1312"/>
      <c r="G3" s="1312" t="s">
        <v>210</v>
      </c>
      <c r="H3" s="1308"/>
      <c r="I3" s="219"/>
      <c r="J3" s="219"/>
      <c r="K3" s="219"/>
      <c r="L3" s="32"/>
      <c r="M3" s="32"/>
      <c r="N3" s="32"/>
      <c r="O3" s="32"/>
      <c r="P3" s="32"/>
      <c r="Q3" s="32"/>
    </row>
    <row r="4" spans="1:17" ht="14.25" customHeight="1" x14ac:dyDescent="0.25">
      <c r="A4" s="32"/>
      <c r="B4" s="1311"/>
      <c r="C4" s="1313"/>
      <c r="D4" s="1313"/>
      <c r="E4" s="1313"/>
      <c r="F4" s="1313"/>
      <c r="G4" s="1313"/>
      <c r="H4" s="1309"/>
      <c r="I4" s="219"/>
      <c r="J4" s="219"/>
      <c r="K4" s="219"/>
      <c r="L4" s="32"/>
      <c r="M4" s="32"/>
      <c r="N4" s="32"/>
      <c r="O4" s="32"/>
      <c r="P4" s="32"/>
      <c r="Q4" s="32"/>
    </row>
    <row r="5" spans="1:17" ht="20.399999999999999" x14ac:dyDescent="0.25">
      <c r="A5" s="32"/>
      <c r="B5" s="99" t="s">
        <v>211</v>
      </c>
      <c r="C5" s="1328" t="s">
        <v>240</v>
      </c>
      <c r="D5" s="1328"/>
      <c r="E5" s="1328"/>
      <c r="F5" s="1328"/>
      <c r="G5" s="1342" t="str">
        <f>IFERROR(IF(H14&lt;0,"No ▲","Yes ✓"),"")</f>
        <v>Yes ✓</v>
      </c>
      <c r="H5" s="1343"/>
      <c r="I5" s="219"/>
      <c r="J5" s="219"/>
      <c r="K5" s="219"/>
      <c r="L5" s="32"/>
      <c r="M5" s="32"/>
      <c r="N5" s="32"/>
      <c r="O5" s="32"/>
      <c r="P5" s="32"/>
      <c r="Q5" s="32"/>
    </row>
    <row r="6" spans="1:17" ht="20.399999999999999" x14ac:dyDescent="0.25">
      <c r="A6" s="32"/>
      <c r="B6" s="99" t="s">
        <v>213</v>
      </c>
      <c r="C6" s="1333" t="s">
        <v>241</v>
      </c>
      <c r="D6" s="1333"/>
      <c r="E6" s="1333"/>
      <c r="F6" s="1333"/>
      <c r="G6" s="1342" t="str">
        <f>IF(H22+H13&lt;0, "No ▲","Yes ✓")</f>
        <v>Yes ✓</v>
      </c>
      <c r="H6" s="1343"/>
      <c r="I6" s="219"/>
      <c r="J6" s="219"/>
      <c r="K6" s="219"/>
      <c r="L6" s="32"/>
      <c r="M6" s="32"/>
      <c r="N6" s="32"/>
      <c r="O6" s="32"/>
      <c r="P6" s="32"/>
      <c r="Q6" s="32"/>
    </row>
    <row r="7" spans="1:17" ht="22.5" customHeight="1" x14ac:dyDescent="0.25">
      <c r="A7" s="32"/>
      <c r="B7" s="99" t="s">
        <v>70</v>
      </c>
      <c r="C7" s="1329" t="s">
        <v>242</v>
      </c>
      <c r="D7" s="1329"/>
      <c r="E7" s="1329"/>
      <c r="F7" s="1329"/>
      <c r="G7" s="1342" t="str">
        <f>IF(H33&lt;0, "No ▲","Yes ✓")</f>
        <v>Yes ✓</v>
      </c>
      <c r="H7" s="1343"/>
      <c r="I7" s="32"/>
      <c r="J7" s="32"/>
      <c r="K7" s="32"/>
      <c r="L7" s="32"/>
      <c r="M7" s="32"/>
      <c r="N7" s="32"/>
      <c r="O7" s="32"/>
      <c r="P7" s="32"/>
      <c r="Q7" s="32"/>
    </row>
    <row r="8" spans="1:17" ht="19.5" customHeight="1" thickBot="1" x14ac:dyDescent="0.3">
      <c r="A8" s="32"/>
      <c r="B8" s="74" t="s">
        <v>243</v>
      </c>
      <c r="C8" s="1332" t="s">
        <v>242</v>
      </c>
      <c r="D8" s="1332"/>
      <c r="E8" s="1332"/>
      <c r="F8" s="1332"/>
      <c r="G8" s="1344" t="str">
        <f>IF(H44&lt;0,"No ▲","Yes ✓")</f>
        <v>Yes ✓</v>
      </c>
      <c r="H8" s="1345"/>
      <c r="I8" s="32"/>
      <c r="J8" s="32"/>
      <c r="K8" s="32"/>
      <c r="L8" s="32"/>
      <c r="M8" s="32"/>
      <c r="N8" s="32"/>
      <c r="O8" s="32"/>
      <c r="P8" s="32"/>
      <c r="Q8" s="32"/>
    </row>
    <row r="9" spans="1:17" ht="18.75" customHeight="1" x14ac:dyDescent="0.25">
      <c r="A9" s="32"/>
      <c r="H9" s="32"/>
      <c r="I9" s="32"/>
      <c r="J9" s="32"/>
      <c r="K9" s="32"/>
      <c r="L9" s="32"/>
      <c r="M9" s="32"/>
      <c r="N9" s="32"/>
      <c r="O9" s="32"/>
      <c r="P9" s="32"/>
      <c r="Q9" s="32"/>
    </row>
    <row r="10" spans="1:17" ht="13.8" x14ac:dyDescent="0.25">
      <c r="A10" s="32"/>
      <c r="B10" s="32"/>
      <c r="C10" s="32"/>
      <c r="D10" s="32"/>
      <c r="E10" s="32"/>
      <c r="F10" s="32"/>
      <c r="G10" s="32"/>
      <c r="H10" s="32"/>
      <c r="I10" s="32"/>
      <c r="J10" s="32"/>
      <c r="K10" s="32"/>
      <c r="L10" s="32"/>
      <c r="M10" s="32"/>
      <c r="N10" s="32"/>
      <c r="O10" s="32"/>
      <c r="P10" s="32"/>
      <c r="Q10" s="32"/>
    </row>
    <row r="11" spans="1:17" ht="14.4" thickBot="1" x14ac:dyDescent="0.3">
      <c r="A11" s="32"/>
      <c r="B11" s="32"/>
      <c r="C11" s="32"/>
      <c r="D11" s="32"/>
      <c r="E11" s="32"/>
      <c r="F11" s="32"/>
      <c r="G11" s="32"/>
      <c r="H11" s="32"/>
      <c r="I11" s="32"/>
      <c r="J11" s="32"/>
      <c r="K11" s="32"/>
      <c r="L11" s="32"/>
      <c r="M11" s="32"/>
      <c r="N11" s="32"/>
      <c r="O11" s="32"/>
      <c r="P11" s="32"/>
      <c r="Q11" s="32"/>
    </row>
    <row r="12" spans="1:17" s="33" customFormat="1" ht="52.5" customHeight="1" thickBot="1" x14ac:dyDescent="0.3">
      <c r="A12" s="32"/>
      <c r="B12" s="1302" t="s">
        <v>218</v>
      </c>
      <c r="C12" s="1303"/>
      <c r="D12" s="1303"/>
      <c r="E12" s="1304"/>
      <c r="F12" s="606"/>
      <c r="G12" s="1319" t="s">
        <v>219</v>
      </c>
      <c r="H12" s="1320"/>
      <c r="K12" s="32"/>
      <c r="L12" s="32"/>
      <c r="M12" s="32"/>
    </row>
    <row r="13" spans="1:17" ht="46.8" x14ac:dyDescent="0.25">
      <c r="A13" s="32"/>
      <c r="B13" s="70" t="s">
        <v>114</v>
      </c>
      <c r="C13" s="71" t="s">
        <v>221</v>
      </c>
      <c r="D13" s="71" t="s">
        <v>147</v>
      </c>
      <c r="E13" s="72" t="s">
        <v>222</v>
      </c>
      <c r="G13" s="73" t="s">
        <v>224</v>
      </c>
      <c r="H13" s="350">
        <f>SUMIF($E$14:$E$14,"&gt;0")</f>
        <v>0</v>
      </c>
      <c r="I13" s="896"/>
      <c r="K13" s="32"/>
      <c r="L13" s="32"/>
      <c r="M13" s="32"/>
      <c r="N13" s="32"/>
      <c r="O13" s="32"/>
    </row>
    <row r="14" spans="1:17" ht="28.2" thickBot="1" x14ac:dyDescent="0.3">
      <c r="A14" s="32"/>
      <c r="B14" s="273" t="str">
        <f>'G-2 Habitat groups'!A150</f>
        <v>Species-rich native hedgerow with trees - associated with bank or ditch</v>
      </c>
      <c r="C14" s="355">
        <f>'G-2 Habitat groups'!R150</f>
        <v>0</v>
      </c>
      <c r="D14" s="355">
        <f>'G-2 Habitat groups'!AD150</f>
        <v>0</v>
      </c>
      <c r="E14" s="599">
        <f>'G-2 Habitat groups'!AF150</f>
        <v>0</v>
      </c>
      <c r="G14" s="74" t="s">
        <v>229</v>
      </c>
      <c r="H14" s="351">
        <f>SUMIF(E14, "&lt;0", E14)</f>
        <v>0</v>
      </c>
      <c r="K14" s="32"/>
      <c r="L14" s="32"/>
      <c r="M14" s="32"/>
      <c r="N14" s="32"/>
      <c r="O14" s="32"/>
    </row>
    <row r="15" spans="1:17" ht="14.4" thickBot="1" x14ac:dyDescent="0.3">
      <c r="A15" s="32"/>
      <c r="C15" s="609">
        <f>SUM(C14:C14)</f>
        <v>0</v>
      </c>
      <c r="D15" s="610">
        <f>SUM(D14:D14)</f>
        <v>0</v>
      </c>
      <c r="E15" s="344">
        <f>SUM(E14:E14)</f>
        <v>0</v>
      </c>
      <c r="G15" s="563"/>
      <c r="H15" s="32"/>
      <c r="I15" s="32"/>
      <c r="J15" s="32"/>
      <c r="K15" s="32"/>
      <c r="L15" s="32"/>
      <c r="M15" s="32"/>
      <c r="N15" s="32"/>
      <c r="O15" s="32"/>
      <c r="P15" s="32"/>
      <c r="Q15" s="32"/>
    </row>
    <row r="16" spans="1:17" ht="13.8" x14ac:dyDescent="0.25">
      <c r="A16" s="32"/>
      <c r="B16" s="32"/>
      <c r="C16" s="32"/>
      <c r="D16" s="32"/>
      <c r="E16" s="32"/>
      <c r="F16" s="32"/>
      <c r="G16" s="32"/>
      <c r="H16" s="32"/>
      <c r="I16" s="32"/>
      <c r="J16" s="32"/>
      <c r="K16" s="32"/>
      <c r="L16" s="32"/>
      <c r="M16" s="32"/>
      <c r="N16" s="32"/>
      <c r="O16" s="32"/>
      <c r="P16" s="32"/>
      <c r="Q16" s="32"/>
    </row>
    <row r="17" spans="1:17" ht="13.8" x14ac:dyDescent="0.25">
      <c r="A17" s="32"/>
      <c r="B17" s="32"/>
      <c r="C17" s="32"/>
      <c r="D17" s="32"/>
      <c r="E17" s="32"/>
      <c r="F17" s="32"/>
      <c r="G17" s="32"/>
      <c r="H17" s="32"/>
      <c r="I17" s="32"/>
      <c r="J17" s="32"/>
      <c r="K17" s="32"/>
      <c r="L17" s="32"/>
      <c r="M17" s="32"/>
      <c r="N17" s="32"/>
      <c r="O17" s="32"/>
      <c r="P17" s="32"/>
      <c r="Q17" s="32"/>
    </row>
    <row r="18" spans="1:17" ht="13.8" x14ac:dyDescent="0.25">
      <c r="A18" s="32"/>
      <c r="B18" s="32"/>
      <c r="C18" s="32"/>
      <c r="D18" s="32"/>
      <c r="E18" s="32"/>
      <c r="F18" s="32"/>
      <c r="G18" s="32"/>
      <c r="H18" s="32"/>
      <c r="I18" s="32"/>
      <c r="J18" s="32"/>
      <c r="K18" s="32"/>
      <c r="L18" s="32"/>
      <c r="M18" s="32"/>
      <c r="N18" s="32"/>
      <c r="O18" s="32"/>
      <c r="P18" s="32"/>
      <c r="Q18" s="32"/>
    </row>
    <row r="19" spans="1:17" ht="14.4" thickBot="1" x14ac:dyDescent="0.3">
      <c r="A19" s="32"/>
      <c r="B19" s="32"/>
      <c r="C19" s="32"/>
      <c r="D19" s="32"/>
      <c r="E19" s="32"/>
      <c r="F19" s="32"/>
      <c r="G19" s="32"/>
      <c r="H19" s="32"/>
      <c r="I19" s="32"/>
      <c r="J19" s="32"/>
      <c r="K19" s="32"/>
      <c r="L19" s="32"/>
      <c r="M19" s="32"/>
      <c r="N19" s="32"/>
      <c r="O19" s="32"/>
      <c r="P19" s="32"/>
      <c r="Q19" s="32"/>
    </row>
    <row r="20" spans="1:17" ht="68.099999999999994" customHeight="1" thickBot="1" x14ac:dyDescent="0.3">
      <c r="A20" s="32"/>
      <c r="B20" s="1334" t="s">
        <v>225</v>
      </c>
      <c r="C20" s="1335"/>
      <c r="D20" s="1335"/>
      <c r="E20" s="1336"/>
      <c r="F20" s="603"/>
      <c r="G20" s="1340" t="s">
        <v>226</v>
      </c>
      <c r="H20" s="1341"/>
      <c r="K20" s="32"/>
      <c r="L20" s="32"/>
      <c r="M20" s="32"/>
      <c r="N20" s="32"/>
      <c r="O20" s="32"/>
    </row>
    <row r="21" spans="1:17" ht="46.8" x14ac:dyDescent="0.25">
      <c r="A21" s="32"/>
      <c r="B21" s="70" t="s">
        <v>114</v>
      </c>
      <c r="C21" s="71" t="s">
        <v>120</v>
      </c>
      <c r="D21" s="71" t="s">
        <v>147</v>
      </c>
      <c r="E21" s="72" t="s">
        <v>233</v>
      </c>
      <c r="G21" s="73" t="s">
        <v>228</v>
      </c>
      <c r="H21" s="350">
        <f>SUMIF(E22:E24,"&gt;0")</f>
        <v>0</v>
      </c>
      <c r="K21" s="32"/>
      <c r="L21" s="32"/>
    </row>
    <row r="22" spans="1:17" ht="27.6" x14ac:dyDescent="0.25">
      <c r="A22" s="32"/>
      <c r="B22" s="271" t="str">
        <f>'G-2 Habitat groups'!A151</f>
        <v>Species-rich native hedgerow with trees</v>
      </c>
      <c r="C22" s="346">
        <f>'G-2 Habitat groups'!R151</f>
        <v>0</v>
      </c>
      <c r="D22" s="346">
        <f>'G-2 Habitat groups'!AD151</f>
        <v>0</v>
      </c>
      <c r="E22" s="347">
        <f>'G-2 Habitat groups'!AF151</f>
        <v>0</v>
      </c>
      <c r="G22" s="99" t="s">
        <v>1681</v>
      </c>
      <c r="H22" s="353">
        <f>SUMIF(E22:E24, "&lt;0")</f>
        <v>0</v>
      </c>
      <c r="I22" s="897"/>
      <c r="K22" s="32"/>
      <c r="L22" s="32"/>
    </row>
    <row r="23" spans="1:17" ht="42" thickBot="1" x14ac:dyDescent="0.3">
      <c r="A23" s="32"/>
      <c r="B23" s="271" t="str">
        <f>'G-2 Habitat groups'!A152</f>
        <v>Species-rich native hedgerow - associated with bank or ditch</v>
      </c>
      <c r="C23" s="346">
        <f>'G-2 Habitat groups'!R152</f>
        <v>0</v>
      </c>
      <c r="D23" s="346">
        <f>'G-2 Habitat groups'!AD152</f>
        <v>0</v>
      </c>
      <c r="E23" s="347">
        <f>'G-2 Habitat groups'!AF152</f>
        <v>0</v>
      </c>
      <c r="G23" s="74" t="s">
        <v>1682</v>
      </c>
      <c r="H23" s="351">
        <f>H13+H22</f>
        <v>0</v>
      </c>
    </row>
    <row r="24" spans="1:17" ht="15" customHeight="1" thickBot="1" x14ac:dyDescent="0.3">
      <c r="A24" s="32"/>
      <c r="B24" s="273" t="str">
        <f>'G-2 Habitat groups'!A153</f>
        <v>Native hedgerow with trees - associated with bank or ditch</v>
      </c>
      <c r="C24" s="355">
        <f>'G-2 Habitat groups'!R153</f>
        <v>0</v>
      </c>
      <c r="D24" s="355">
        <f>'G-2 Habitat groups'!AD153</f>
        <v>0</v>
      </c>
      <c r="E24" s="599">
        <f>'G-2 Habitat groups'!AF153</f>
        <v>0</v>
      </c>
      <c r="G24" s="608"/>
      <c r="H24" s="32"/>
      <c r="K24" s="32"/>
      <c r="L24" s="32"/>
    </row>
    <row r="25" spans="1:17" ht="13.8" hidden="1" x14ac:dyDescent="0.25">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55" customHeight="1" thickBot="1" x14ac:dyDescent="0.3">
      <c r="A26" s="32"/>
      <c r="B26" s="32"/>
      <c r="C26" s="756">
        <f>SUM(C22:C25)</f>
        <v>0</v>
      </c>
      <c r="D26" s="343">
        <f>SUM(D22:D25)</f>
        <v>0</v>
      </c>
      <c r="E26" s="344">
        <f>SUM(E22:E25)</f>
        <v>0</v>
      </c>
      <c r="H26" s="32"/>
      <c r="K26" s="32"/>
      <c r="L26" s="32"/>
      <c r="M26" s="32"/>
      <c r="N26" s="32"/>
      <c r="O26" s="32"/>
    </row>
    <row r="27" spans="1:17" ht="13.8" x14ac:dyDescent="0.25">
      <c r="A27" s="32"/>
      <c r="B27" s="32"/>
      <c r="C27" s="32"/>
      <c r="D27" s="32"/>
      <c r="E27" s="32"/>
      <c r="F27" s="32"/>
      <c r="G27" s="32"/>
      <c r="H27" s="32"/>
      <c r="I27" s="32"/>
      <c r="J27" s="32"/>
      <c r="K27" s="32"/>
      <c r="L27" s="32"/>
      <c r="M27" s="32"/>
      <c r="N27" s="32"/>
      <c r="O27" s="32"/>
      <c r="P27" s="32"/>
      <c r="Q27" s="32"/>
    </row>
    <row r="28" spans="1:17" ht="13.8" x14ac:dyDescent="0.25">
      <c r="A28" s="32"/>
      <c r="B28" s="32"/>
      <c r="C28" s="32"/>
      <c r="D28" s="32"/>
      <c r="E28" s="32"/>
      <c r="F28" s="32"/>
      <c r="G28" s="32"/>
      <c r="H28" s="32"/>
      <c r="I28" s="32"/>
      <c r="J28" s="32"/>
      <c r="K28" s="32"/>
      <c r="L28" s="32"/>
      <c r="M28" s="32"/>
      <c r="N28" s="32"/>
      <c r="O28" s="32"/>
      <c r="P28" s="32"/>
      <c r="Q28" s="32"/>
    </row>
    <row r="29" spans="1:17" ht="14.4" thickBot="1" x14ac:dyDescent="0.3">
      <c r="A29" s="32"/>
      <c r="B29" s="32"/>
      <c r="C29" s="32"/>
      <c r="D29" s="32"/>
      <c r="E29" s="32"/>
      <c r="F29" s="32"/>
      <c r="G29" s="32"/>
      <c r="H29" s="32"/>
      <c r="I29" s="32"/>
      <c r="J29" s="32"/>
      <c r="K29" s="32"/>
      <c r="L29" s="32"/>
      <c r="M29" s="32"/>
      <c r="N29" s="32"/>
      <c r="O29" s="32"/>
      <c r="P29" s="32"/>
      <c r="Q29" s="32"/>
    </row>
    <row r="30" spans="1:17" ht="28.2" thickBot="1" x14ac:dyDescent="0.45">
      <c r="A30" s="32"/>
      <c r="B30" s="1334" t="s">
        <v>231</v>
      </c>
      <c r="C30" s="1335"/>
      <c r="D30" s="1335"/>
      <c r="E30" s="1336"/>
      <c r="F30" s="603"/>
      <c r="G30" s="1330" t="s">
        <v>232</v>
      </c>
      <c r="H30" s="1331"/>
      <c r="K30" s="32"/>
      <c r="L30" s="32"/>
      <c r="M30" s="32"/>
      <c r="N30" s="32"/>
      <c r="O30" s="32"/>
      <c r="P30" s="32"/>
      <c r="Q30" s="32"/>
    </row>
    <row r="31" spans="1:17" ht="46.8" x14ac:dyDescent="0.25">
      <c r="A31" s="32"/>
      <c r="B31" s="70" t="s">
        <v>114</v>
      </c>
      <c r="C31" s="71" t="s">
        <v>120</v>
      </c>
      <c r="D31" s="71" t="s">
        <v>147</v>
      </c>
      <c r="E31" s="72" t="s">
        <v>233</v>
      </c>
      <c r="G31" s="707" t="s">
        <v>244</v>
      </c>
      <c r="H31" s="352">
        <f>IF(H23&gt;0, H23, 0)+H21</f>
        <v>0</v>
      </c>
      <c r="K31" s="32"/>
      <c r="L31" s="32"/>
      <c r="M31" s="32"/>
      <c r="N31" s="32"/>
      <c r="O31" s="32"/>
      <c r="P31" s="32"/>
      <c r="Q31" s="32"/>
    </row>
    <row r="32" spans="1:17" ht="27.6" x14ac:dyDescent="0.25">
      <c r="A32" s="32"/>
      <c r="B32" s="271" t="str">
        <f>'G-2 Habitat groups'!A154</f>
        <v>Species-rich native hedgerow</v>
      </c>
      <c r="C32" s="346">
        <f>'G-2 Habitat groups'!R154</f>
        <v>16.669627715952004</v>
      </c>
      <c r="D32" s="346">
        <f>'G-2 Habitat groups'!AD154</f>
        <v>0</v>
      </c>
      <c r="E32" s="347">
        <f>'G-2 Habitat groups'!AF154</f>
        <v>16.669627715952004</v>
      </c>
      <c r="G32" s="99" t="s">
        <v>245</v>
      </c>
      <c r="H32" s="347">
        <f>E38</f>
        <v>16.669627715952004</v>
      </c>
      <c r="K32" s="32"/>
      <c r="L32" s="32"/>
      <c r="M32" s="32"/>
      <c r="N32" s="32"/>
      <c r="O32" s="32"/>
      <c r="P32" s="32"/>
      <c r="Q32" s="32"/>
    </row>
    <row r="33" spans="1:17" ht="14.4" thickBot="1" x14ac:dyDescent="0.3">
      <c r="A33" s="32"/>
      <c r="B33" s="271" t="str">
        <f>'G-2 Habitat groups'!A155</f>
        <v>Native hedgerow - associated with bank or ditch</v>
      </c>
      <c r="C33" s="346">
        <f>'G-2 Habitat groups'!R155</f>
        <v>0</v>
      </c>
      <c r="D33" s="346">
        <f>'G-2 Habitat groups'!AD155</f>
        <v>0</v>
      </c>
      <c r="E33" s="347">
        <f>'G-2 Habitat groups'!AF155</f>
        <v>0</v>
      </c>
      <c r="G33" s="74" t="s">
        <v>1674</v>
      </c>
      <c r="H33" s="351">
        <f>H32+H31</f>
        <v>16.669627715952004</v>
      </c>
      <c r="K33" s="32"/>
      <c r="L33" s="32"/>
      <c r="M33" s="32"/>
      <c r="N33" s="32"/>
      <c r="O33" s="32"/>
    </row>
    <row r="34" spans="1:17" ht="13.8" x14ac:dyDescent="0.25">
      <c r="A34" s="32"/>
      <c r="B34" s="271" t="str">
        <f>'G-2 Habitat groups'!A156</f>
        <v>Native hedgerow with trees</v>
      </c>
      <c r="C34" s="346">
        <f>'G-2 Habitat groups'!R156</f>
        <v>0</v>
      </c>
      <c r="D34" s="346">
        <f>'G-2 Habitat groups'!AD156</f>
        <v>0</v>
      </c>
      <c r="E34" s="347">
        <f>'G-2 Habitat groups'!AF156</f>
        <v>0</v>
      </c>
      <c r="K34" s="32"/>
      <c r="L34" s="32"/>
      <c r="M34" s="32"/>
      <c r="N34" s="32"/>
    </row>
    <row r="35" spans="1:17" ht="13.8" x14ac:dyDescent="0.25">
      <c r="A35" s="32"/>
      <c r="B35" s="271" t="str">
        <f>'G-2 Habitat groups'!A157</f>
        <v>Ecologically valuable line of trees</v>
      </c>
      <c r="C35" s="346">
        <f>'G-2 Habitat groups'!R157</f>
        <v>0</v>
      </c>
      <c r="D35" s="346">
        <f>'G-2 Habitat groups'!AD157</f>
        <v>0</v>
      </c>
      <c r="E35" s="347">
        <f>'G-2 Habitat groups'!AF157</f>
        <v>0</v>
      </c>
      <c r="G35" s="38"/>
      <c r="H35" s="649"/>
      <c r="K35" s="32"/>
      <c r="L35" s="32"/>
      <c r="M35" s="32"/>
      <c r="N35" s="32"/>
    </row>
    <row r="36" spans="1:17" ht="14.4" thickBot="1" x14ac:dyDescent="0.3">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3.8" hidden="1" x14ac:dyDescent="0.25">
      <c r="A37" s="32"/>
      <c r="B37" s="270" t="str">
        <f>'G-2 Habitat groups'!A158</f>
        <v>Ecologically valuable line of trees - associated with bank or ditch</v>
      </c>
      <c r="C37" s="349">
        <f>'G-2 Habitat groups'!BB30</f>
        <v>0</v>
      </c>
      <c r="D37" s="349">
        <f>'G-2 Habitat groups'!BD30</f>
        <v>0</v>
      </c>
      <c r="E37" s="349">
        <f>'G-2 Habitat groups'!BE30</f>
        <v>0</v>
      </c>
      <c r="G37" s="598">
        <f>SUM(E37:E37)</f>
        <v>0</v>
      </c>
      <c r="H37" s="32"/>
      <c r="K37" s="32"/>
      <c r="L37" s="32"/>
      <c r="M37" s="32"/>
      <c r="N37" s="32"/>
    </row>
    <row r="38" spans="1:17" ht="14.55" customHeight="1" thickBot="1" x14ac:dyDescent="0.3">
      <c r="A38" s="32"/>
      <c r="B38" s="32"/>
      <c r="C38" s="609">
        <f>SUM(C32:C37)</f>
        <v>16.669627715952004</v>
      </c>
      <c r="D38" s="343">
        <f>SUM(D32:D37)</f>
        <v>0</v>
      </c>
      <c r="E38" s="344">
        <f>SUM(E32:E37)</f>
        <v>16.669627715952004</v>
      </c>
      <c r="H38" s="32"/>
      <c r="I38" s="32"/>
      <c r="J38" s="32"/>
      <c r="K38" s="32"/>
      <c r="L38" s="32"/>
      <c r="M38" s="32"/>
      <c r="N38" s="32"/>
      <c r="O38" s="32"/>
      <c r="P38" s="32"/>
      <c r="Q38" s="32"/>
    </row>
    <row r="39" spans="1:17" ht="13.8" x14ac:dyDescent="0.25">
      <c r="A39" s="32"/>
      <c r="B39" s="32"/>
      <c r="C39" s="32"/>
      <c r="D39" s="32"/>
      <c r="E39" s="32"/>
      <c r="F39" s="32"/>
      <c r="G39" s="32"/>
      <c r="H39" s="32"/>
      <c r="I39" s="32"/>
      <c r="J39" s="32"/>
      <c r="K39" s="32"/>
      <c r="L39" s="32"/>
      <c r="M39" s="32"/>
      <c r="N39" s="32"/>
      <c r="O39" s="32"/>
      <c r="P39" s="32"/>
      <c r="Q39" s="32"/>
    </row>
    <row r="40" spans="1:17" ht="13.8" x14ac:dyDescent="0.25">
      <c r="A40" s="32"/>
      <c r="B40" s="32"/>
      <c r="C40" s="32"/>
      <c r="D40" s="32"/>
      <c r="E40" s="32"/>
      <c r="F40" s="32"/>
      <c r="G40" s="32"/>
      <c r="H40" s="32"/>
      <c r="I40" s="32"/>
      <c r="J40" s="32"/>
      <c r="K40" s="32"/>
      <c r="L40" s="32"/>
      <c r="M40" s="32"/>
      <c r="N40" s="32"/>
      <c r="O40" s="32"/>
      <c r="P40" s="32"/>
      <c r="Q40" s="32"/>
    </row>
    <row r="41" spans="1:17" ht="14.4" thickBot="1" x14ac:dyDescent="0.3">
      <c r="A41" s="32"/>
      <c r="B41" s="32"/>
      <c r="C41" s="32"/>
      <c r="D41" s="32"/>
      <c r="E41" s="32"/>
      <c r="F41" s="32"/>
      <c r="G41" s="32"/>
      <c r="H41" s="32"/>
      <c r="I41" s="32"/>
      <c r="J41" s="32"/>
      <c r="K41" s="32"/>
      <c r="L41" s="32"/>
      <c r="M41" s="32"/>
      <c r="N41" s="32"/>
      <c r="O41" s="32"/>
      <c r="P41" s="32"/>
      <c r="Q41" s="32"/>
    </row>
    <row r="42" spans="1:17" ht="25.8" thickBot="1" x14ac:dyDescent="0.45">
      <c r="A42" s="32"/>
      <c r="B42" s="611" t="s">
        <v>246</v>
      </c>
      <c r="C42" s="607"/>
      <c r="D42" s="607"/>
      <c r="E42" s="605"/>
      <c r="F42" s="32"/>
      <c r="G42" s="1317" t="s">
        <v>238</v>
      </c>
      <c r="H42" s="1318"/>
      <c r="I42" s="32"/>
      <c r="J42" s="32"/>
      <c r="K42" s="32"/>
      <c r="L42" s="32"/>
      <c r="M42" s="32"/>
      <c r="N42" s="32"/>
      <c r="O42" s="32"/>
      <c r="P42" s="32"/>
      <c r="Q42" s="32"/>
    </row>
    <row r="43" spans="1:17" ht="46.8" x14ac:dyDescent="0.25">
      <c r="A43" s="32"/>
      <c r="B43" s="70" t="s">
        <v>114</v>
      </c>
      <c r="C43" s="71" t="s">
        <v>221</v>
      </c>
      <c r="D43" s="71" t="s">
        <v>147</v>
      </c>
      <c r="E43" s="72" t="s">
        <v>233</v>
      </c>
      <c r="F43" s="32"/>
      <c r="G43" s="73" t="s">
        <v>239</v>
      </c>
      <c r="H43" s="352">
        <f>E48</f>
        <v>0</v>
      </c>
      <c r="I43" s="32"/>
      <c r="J43" s="32"/>
      <c r="K43" s="32"/>
      <c r="L43" s="32"/>
      <c r="M43" s="32"/>
      <c r="N43" s="32"/>
      <c r="O43" s="32"/>
      <c r="P43" s="32"/>
      <c r="Q43" s="32"/>
    </row>
    <row r="44" spans="1:17" ht="14.4" thickBot="1" x14ac:dyDescent="0.3">
      <c r="A44" s="32"/>
      <c r="B44" s="215" t="str">
        <f>'G-2 Habitat groups'!A159</f>
        <v>Native hedgerow</v>
      </c>
      <c r="C44" s="346">
        <f>'G-2 Habitat groups'!R159</f>
        <v>0</v>
      </c>
      <c r="D44" s="346">
        <f>'G-2 Habitat groups'!AD159</f>
        <v>0</v>
      </c>
      <c r="E44" s="347">
        <f>'G-2 Habitat groups'!AF159</f>
        <v>0</v>
      </c>
      <c r="F44" s="32"/>
      <c r="G44" s="74" t="s">
        <v>1674</v>
      </c>
      <c r="H44" s="351">
        <f>H43+H33</f>
        <v>16.669627715952004</v>
      </c>
      <c r="I44" s="32"/>
      <c r="J44" s="32"/>
      <c r="K44" s="32"/>
      <c r="L44" s="32"/>
      <c r="M44" s="32"/>
      <c r="N44" s="32"/>
      <c r="O44" s="32"/>
      <c r="P44" s="32"/>
      <c r="Q44" s="32"/>
    </row>
    <row r="45" spans="1:17" ht="13.8" x14ac:dyDescent="0.25">
      <c r="A45" s="32"/>
      <c r="B45" s="215" t="str">
        <f>'G-2 Habitat groups'!A160</f>
        <v>Line of trees</v>
      </c>
      <c r="C45" s="346">
        <f>'G-2 Habitat groups'!R160</f>
        <v>0</v>
      </c>
      <c r="D45" s="346">
        <f>'G-2 Habitat groups'!AD160</f>
        <v>0</v>
      </c>
      <c r="E45" s="347">
        <f>'G-2 Habitat groups'!AF160</f>
        <v>0</v>
      </c>
      <c r="F45" s="32"/>
      <c r="G45" s="32"/>
      <c r="H45" s="32"/>
      <c r="I45" s="32"/>
      <c r="J45" s="32"/>
      <c r="K45" s="32"/>
      <c r="L45" s="32"/>
      <c r="M45" s="32"/>
      <c r="N45" s="32"/>
      <c r="O45" s="32"/>
      <c r="P45" s="32"/>
      <c r="Q45" s="32"/>
    </row>
    <row r="46" spans="1:17" ht="25.2" x14ac:dyDescent="0.2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4.4" thickBot="1" x14ac:dyDescent="0.3">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4.4" thickBot="1" x14ac:dyDescent="0.3">
      <c r="A48" s="32"/>
      <c r="B48" s="32"/>
      <c r="C48" s="414">
        <f>SUM(C44:C47)</f>
        <v>0</v>
      </c>
      <c r="D48" s="414">
        <f>SUM(D44:D47)</f>
        <v>0</v>
      </c>
      <c r="E48" s="414">
        <f>SUM(E44:E47)</f>
        <v>0</v>
      </c>
      <c r="K48" s="32"/>
      <c r="L48" s="32"/>
      <c r="M48" s="32"/>
      <c r="N48" s="32"/>
      <c r="O48" s="32"/>
      <c r="P48" s="32"/>
      <c r="Q48" s="32"/>
    </row>
    <row r="49" spans="1:17" ht="13.8" x14ac:dyDescent="0.25">
      <c r="A49" s="32"/>
      <c r="G49" s="32"/>
      <c r="H49" s="32"/>
      <c r="I49" s="32"/>
      <c r="J49" s="32"/>
      <c r="K49" s="32"/>
      <c r="L49" s="32"/>
      <c r="M49" s="32"/>
      <c r="N49" s="32"/>
      <c r="O49" s="32"/>
      <c r="P49" s="32"/>
      <c r="Q49" s="32"/>
    </row>
    <row r="50" spans="1:17" ht="13.8" x14ac:dyDescent="0.25">
      <c r="A50" s="32"/>
      <c r="G50" s="32"/>
      <c r="H50" s="32"/>
      <c r="I50" s="32"/>
      <c r="J50" s="32"/>
      <c r="K50" s="32"/>
      <c r="L50" s="32"/>
      <c r="M50" s="32"/>
      <c r="N50" s="32"/>
      <c r="O50" s="32"/>
      <c r="P50" s="32"/>
      <c r="Q50" s="32"/>
    </row>
    <row r="51" spans="1:17" ht="13.8" x14ac:dyDescent="0.25">
      <c r="A51" s="32"/>
      <c r="G51" s="32"/>
      <c r="H51" s="32"/>
      <c r="I51" s="32"/>
      <c r="J51" s="32"/>
      <c r="K51" s="32"/>
      <c r="L51" s="32"/>
      <c r="M51" s="32"/>
      <c r="N51" s="32"/>
      <c r="O51" s="32"/>
      <c r="P51" s="32"/>
      <c r="Q51" s="32"/>
    </row>
    <row r="52" spans="1:17" ht="13.8" x14ac:dyDescent="0.25">
      <c r="A52" s="32"/>
      <c r="G52" s="32"/>
      <c r="H52" s="32"/>
      <c r="I52" s="32"/>
      <c r="J52" s="32"/>
      <c r="K52" s="32"/>
      <c r="L52" s="32"/>
      <c r="M52" s="32"/>
      <c r="N52" s="32"/>
      <c r="O52" s="32"/>
      <c r="P52" s="32"/>
      <c r="Q52" s="32"/>
    </row>
    <row r="53" spans="1:17" ht="13.8" x14ac:dyDescent="0.25">
      <c r="A53" s="32"/>
      <c r="B53" s="32"/>
      <c r="C53" s="32"/>
      <c r="D53" s="32"/>
      <c r="E53" s="32"/>
      <c r="F53" s="32"/>
      <c r="G53" s="32"/>
      <c r="H53" s="32"/>
      <c r="I53" s="32"/>
      <c r="J53" s="32"/>
      <c r="K53" s="32"/>
      <c r="L53" s="32"/>
      <c r="M53" s="32"/>
      <c r="N53" s="32"/>
      <c r="O53" s="32"/>
      <c r="P53" s="32"/>
      <c r="Q53" s="32"/>
    </row>
    <row r="54" spans="1:17" ht="13.8" x14ac:dyDescent="0.25">
      <c r="A54" s="32"/>
      <c r="B54" s="32"/>
      <c r="C54" s="32"/>
      <c r="D54" s="32"/>
      <c r="E54" s="32"/>
      <c r="F54" s="32"/>
      <c r="G54" s="32"/>
      <c r="H54" s="32"/>
      <c r="I54" s="32"/>
      <c r="J54" s="32"/>
      <c r="K54" s="32"/>
      <c r="L54" s="32"/>
      <c r="M54" s="32"/>
      <c r="N54" s="32"/>
      <c r="O54" s="32"/>
      <c r="P54" s="32"/>
      <c r="Q54" s="32"/>
    </row>
    <row r="55" spans="1:17" ht="13.8" x14ac:dyDescent="0.25">
      <c r="A55" s="32"/>
      <c r="B55" s="32"/>
      <c r="C55" s="32"/>
      <c r="D55" s="32"/>
      <c r="E55" s="32"/>
      <c r="F55" s="32"/>
      <c r="G55" s="32"/>
      <c r="H55" s="32"/>
      <c r="I55" s="32"/>
      <c r="J55" s="32"/>
      <c r="K55" s="32"/>
      <c r="L55" s="32"/>
      <c r="M55" s="32"/>
      <c r="N55" s="32"/>
      <c r="O55" s="32"/>
      <c r="P55" s="32"/>
      <c r="Q55" s="32"/>
    </row>
    <row r="56" spans="1:17" ht="13.8" x14ac:dyDescent="0.25">
      <c r="A56" s="32"/>
      <c r="B56" s="32"/>
      <c r="C56" s="32"/>
      <c r="D56" s="32"/>
      <c r="E56" s="32"/>
      <c r="F56" s="32"/>
      <c r="G56" s="32"/>
      <c r="H56" s="32"/>
      <c r="I56" s="32"/>
      <c r="J56" s="32"/>
      <c r="K56" s="32"/>
      <c r="L56" s="32"/>
      <c r="M56" s="32"/>
      <c r="N56" s="32"/>
      <c r="O56" s="32"/>
      <c r="P56" s="32"/>
      <c r="Q56" s="32"/>
    </row>
    <row r="57" spans="1:17" ht="13.8" x14ac:dyDescent="0.25">
      <c r="A57" s="32"/>
      <c r="B57" s="32"/>
      <c r="C57" s="32"/>
      <c r="D57" s="32"/>
      <c r="E57" s="32"/>
      <c r="F57" s="32"/>
      <c r="G57" s="32"/>
      <c r="H57" s="32"/>
      <c r="I57" s="32"/>
      <c r="J57" s="32"/>
      <c r="K57" s="32"/>
      <c r="L57" s="32"/>
      <c r="M57" s="32"/>
      <c r="N57" s="32"/>
      <c r="O57" s="32"/>
      <c r="P57" s="32"/>
      <c r="Q57" s="32"/>
    </row>
    <row r="58" spans="1:17" ht="13.8" x14ac:dyDescent="0.25">
      <c r="A58" s="32"/>
      <c r="B58" s="32"/>
      <c r="C58" s="32"/>
      <c r="D58" s="32"/>
      <c r="E58" s="32"/>
      <c r="F58" s="32"/>
      <c r="G58" s="32"/>
      <c r="H58" s="32"/>
      <c r="I58" s="32"/>
      <c r="J58" s="32"/>
      <c r="K58" s="32"/>
      <c r="L58" s="32"/>
      <c r="M58" s="32"/>
      <c r="N58" s="32"/>
      <c r="O58" s="32"/>
      <c r="P58" s="32"/>
      <c r="Q58" s="32"/>
    </row>
    <row r="59" spans="1:17" ht="13.8" x14ac:dyDescent="0.25">
      <c r="A59" s="32"/>
      <c r="B59" s="32"/>
      <c r="C59" s="32"/>
      <c r="D59" s="32"/>
      <c r="E59" s="32"/>
      <c r="F59" s="32"/>
      <c r="G59" s="32"/>
      <c r="H59" s="32"/>
      <c r="I59" s="32"/>
      <c r="J59" s="32"/>
      <c r="K59" s="32"/>
      <c r="L59" s="32"/>
      <c r="M59" s="32"/>
      <c r="N59" s="32"/>
      <c r="O59" s="32"/>
      <c r="P59" s="32"/>
      <c r="Q59" s="32"/>
    </row>
    <row r="60" spans="1:17" ht="13.8" x14ac:dyDescent="0.25">
      <c r="A60" s="32"/>
      <c r="B60" s="32"/>
      <c r="C60" s="32"/>
      <c r="D60" s="32"/>
      <c r="E60" s="32"/>
      <c r="F60" s="32"/>
      <c r="G60" s="32"/>
      <c r="H60" s="32"/>
      <c r="I60" s="32"/>
      <c r="J60" s="32"/>
      <c r="K60" s="32"/>
      <c r="L60" s="32"/>
      <c r="M60" s="32"/>
      <c r="N60" s="32"/>
      <c r="O60" s="32"/>
      <c r="P60" s="32"/>
      <c r="Q60" s="32"/>
    </row>
    <row r="61" spans="1:17" ht="13.8" x14ac:dyDescent="0.25">
      <c r="A61" s="32"/>
      <c r="B61" s="32"/>
      <c r="C61" s="32"/>
      <c r="D61" s="32"/>
      <c r="E61" s="32"/>
      <c r="F61" s="32"/>
      <c r="G61" s="32"/>
      <c r="H61" s="32"/>
      <c r="I61" s="32"/>
      <c r="J61" s="32"/>
      <c r="K61" s="32"/>
      <c r="L61" s="32"/>
      <c r="M61" s="32"/>
      <c r="N61" s="32"/>
      <c r="O61" s="32"/>
      <c r="P61" s="32"/>
      <c r="Q61" s="32"/>
    </row>
    <row r="62" spans="1:17" ht="13.8" x14ac:dyDescent="0.25">
      <c r="A62" s="32"/>
      <c r="B62" s="32"/>
      <c r="C62" s="32"/>
      <c r="D62" s="32"/>
      <c r="E62" s="32"/>
      <c r="F62" s="32"/>
      <c r="G62" s="32"/>
      <c r="H62" s="32"/>
      <c r="I62" s="32"/>
      <c r="J62" s="32"/>
      <c r="K62" s="32"/>
      <c r="L62" s="32"/>
      <c r="M62" s="32"/>
      <c r="N62" s="32"/>
      <c r="O62" s="32"/>
      <c r="P62" s="32"/>
      <c r="Q62" s="32"/>
    </row>
    <row r="63" spans="1:17" ht="13.8" x14ac:dyDescent="0.25">
      <c r="A63" s="32"/>
      <c r="B63" s="32"/>
      <c r="C63" s="32"/>
      <c r="D63" s="32"/>
      <c r="E63" s="32"/>
      <c r="F63" s="32"/>
      <c r="G63" s="32"/>
      <c r="H63" s="32"/>
      <c r="I63" s="32"/>
      <c r="J63" s="32"/>
      <c r="K63" s="32"/>
      <c r="L63" s="32"/>
      <c r="M63" s="32"/>
      <c r="N63" s="32"/>
      <c r="O63" s="32"/>
      <c r="P63" s="32"/>
      <c r="Q63" s="32"/>
    </row>
    <row r="64" spans="1:17" ht="13.8" x14ac:dyDescent="0.25">
      <c r="A64" s="32"/>
      <c r="B64" s="32"/>
      <c r="C64" s="32"/>
      <c r="D64" s="32"/>
      <c r="E64" s="32"/>
      <c r="F64" s="32"/>
      <c r="G64" s="32"/>
      <c r="H64" s="32"/>
      <c r="I64" s="32"/>
      <c r="J64" s="32"/>
      <c r="K64" s="32"/>
      <c r="L64" s="32"/>
      <c r="M64" s="32"/>
      <c r="N64" s="32"/>
      <c r="O64" s="32"/>
      <c r="P64" s="32"/>
      <c r="Q64" s="32"/>
    </row>
    <row r="65" spans="1:17" ht="13.8" x14ac:dyDescent="0.25">
      <c r="A65" s="32"/>
      <c r="B65" s="32"/>
      <c r="C65" s="32"/>
      <c r="D65" s="32"/>
      <c r="E65" s="32"/>
      <c r="F65" s="32"/>
      <c r="G65" s="32"/>
      <c r="H65" s="32"/>
      <c r="I65" s="32"/>
      <c r="J65" s="32"/>
      <c r="K65" s="32"/>
      <c r="L65" s="32"/>
      <c r="M65" s="32"/>
      <c r="N65" s="32"/>
      <c r="O65" s="32"/>
      <c r="P65" s="32"/>
      <c r="Q65" s="32"/>
    </row>
    <row r="66" spans="1:17" ht="13.8" x14ac:dyDescent="0.25">
      <c r="A66" s="32"/>
      <c r="B66" s="32"/>
      <c r="C66" s="32"/>
      <c r="D66" s="32"/>
      <c r="E66" s="32"/>
      <c r="F66" s="32"/>
      <c r="G66" s="32"/>
      <c r="H66" s="32"/>
      <c r="I66" s="32"/>
      <c r="J66" s="32"/>
      <c r="K66" s="32"/>
      <c r="L66" s="32"/>
      <c r="M66" s="32"/>
      <c r="N66" s="32"/>
      <c r="O66" s="32"/>
      <c r="P66" s="32"/>
      <c r="Q66" s="32"/>
    </row>
    <row r="67" spans="1:17" ht="13.8" x14ac:dyDescent="0.25">
      <c r="A67" s="32"/>
      <c r="B67" s="32"/>
      <c r="C67" s="32"/>
      <c r="D67" s="32"/>
      <c r="E67" s="32"/>
      <c r="F67" s="32"/>
      <c r="G67" s="32"/>
      <c r="H67" s="32"/>
      <c r="I67" s="32"/>
      <c r="J67" s="32"/>
      <c r="K67" s="32"/>
      <c r="L67" s="32"/>
      <c r="M67" s="32"/>
      <c r="N67" s="32"/>
      <c r="O67" s="32"/>
      <c r="P67" s="32"/>
      <c r="Q67" s="32"/>
    </row>
    <row r="68" spans="1:17" ht="13.8" x14ac:dyDescent="0.25">
      <c r="A68" s="32"/>
      <c r="B68" s="32"/>
      <c r="C68" s="32"/>
      <c r="D68" s="32"/>
      <c r="E68" s="32"/>
      <c r="F68" s="32"/>
      <c r="G68" s="32"/>
      <c r="H68" s="32"/>
      <c r="I68" s="32"/>
      <c r="J68" s="32"/>
      <c r="K68" s="32"/>
      <c r="L68" s="32"/>
      <c r="M68" s="32"/>
      <c r="N68" s="32"/>
      <c r="O68" s="32"/>
      <c r="P68" s="32"/>
      <c r="Q68" s="32"/>
    </row>
    <row r="69" spans="1:17" ht="13.8" x14ac:dyDescent="0.25">
      <c r="A69" s="32"/>
      <c r="B69" s="32"/>
      <c r="C69" s="32"/>
      <c r="D69" s="32"/>
      <c r="E69" s="32"/>
      <c r="F69" s="32"/>
      <c r="G69" s="32"/>
      <c r="H69" s="32"/>
      <c r="I69" s="32"/>
      <c r="J69" s="32"/>
      <c r="K69" s="32"/>
      <c r="L69" s="32"/>
      <c r="M69" s="32"/>
      <c r="N69" s="32"/>
      <c r="O69" s="32"/>
      <c r="P69" s="32"/>
      <c r="Q69" s="32"/>
    </row>
    <row r="70" spans="1:17" ht="13.8" x14ac:dyDescent="0.25">
      <c r="A70" s="32"/>
      <c r="B70" s="32"/>
      <c r="C70" s="32"/>
      <c r="D70" s="32"/>
      <c r="E70" s="32"/>
      <c r="F70" s="32"/>
      <c r="G70" s="32"/>
      <c r="H70" s="32"/>
      <c r="I70" s="32"/>
      <c r="J70" s="32"/>
      <c r="K70" s="32"/>
      <c r="L70" s="32"/>
      <c r="M70" s="32"/>
      <c r="N70" s="32"/>
      <c r="O70" s="32"/>
      <c r="P70" s="32"/>
      <c r="Q70" s="32"/>
    </row>
    <row r="71" spans="1:17" ht="13.8" x14ac:dyDescent="0.25">
      <c r="A71" s="32"/>
      <c r="B71" s="32"/>
      <c r="C71" s="32"/>
      <c r="D71" s="32"/>
      <c r="E71" s="32"/>
      <c r="F71" s="32"/>
      <c r="G71" s="32"/>
      <c r="H71" s="32"/>
      <c r="I71" s="32"/>
      <c r="J71" s="32"/>
      <c r="K71" s="32"/>
      <c r="L71" s="32"/>
      <c r="M71" s="32"/>
      <c r="N71" s="32"/>
      <c r="O71" s="32"/>
      <c r="P71" s="32"/>
      <c r="Q71" s="32"/>
    </row>
    <row r="72" spans="1:17" ht="13.8" x14ac:dyDescent="0.25">
      <c r="A72" s="32"/>
      <c r="B72" s="32"/>
      <c r="C72" s="32"/>
      <c r="D72" s="32"/>
      <c r="E72" s="32"/>
      <c r="F72" s="32"/>
      <c r="G72" s="32"/>
      <c r="H72" s="32"/>
      <c r="I72" s="32"/>
      <c r="J72" s="32"/>
      <c r="K72" s="32"/>
      <c r="L72" s="32"/>
      <c r="M72" s="32"/>
      <c r="N72" s="32"/>
      <c r="O72" s="32"/>
      <c r="P72" s="32"/>
      <c r="Q72" s="32"/>
    </row>
    <row r="73" spans="1:17" ht="13.8" x14ac:dyDescent="0.25">
      <c r="A73" s="32"/>
      <c r="B73" s="32"/>
      <c r="C73" s="32"/>
      <c r="D73" s="32"/>
      <c r="E73" s="32"/>
      <c r="F73" s="32"/>
      <c r="G73" s="32"/>
      <c r="H73" s="32"/>
      <c r="I73" s="32"/>
      <c r="J73" s="32"/>
      <c r="K73" s="32"/>
      <c r="L73" s="32"/>
      <c r="M73" s="32"/>
      <c r="N73" s="32"/>
      <c r="O73" s="32"/>
      <c r="P73" s="32"/>
      <c r="Q73" s="32"/>
    </row>
    <row r="74" spans="1:17" ht="13.8" x14ac:dyDescent="0.25">
      <c r="A74" s="32"/>
      <c r="B74" s="32"/>
      <c r="C74" s="32"/>
      <c r="D74" s="32"/>
      <c r="E74" s="32"/>
      <c r="F74" s="32"/>
      <c r="G74" s="32"/>
      <c r="H74" s="32"/>
      <c r="I74" s="32"/>
      <c r="J74" s="32"/>
      <c r="K74" s="32"/>
      <c r="L74" s="32"/>
      <c r="M74" s="32"/>
      <c r="N74" s="32"/>
      <c r="O74" s="32"/>
      <c r="P74" s="32"/>
      <c r="Q74" s="32"/>
    </row>
    <row r="75" spans="1:17" ht="13.8" x14ac:dyDescent="0.25">
      <c r="A75" s="32"/>
      <c r="B75" s="32"/>
      <c r="C75" s="32"/>
      <c r="D75" s="32"/>
      <c r="E75" s="32"/>
      <c r="F75" s="32"/>
      <c r="G75" s="32"/>
      <c r="H75" s="32"/>
      <c r="I75" s="32"/>
      <c r="J75" s="32"/>
      <c r="K75" s="32"/>
      <c r="L75" s="32"/>
      <c r="M75" s="32"/>
      <c r="N75" s="32"/>
      <c r="O75" s="32"/>
      <c r="P75" s="32"/>
      <c r="Q75" s="32"/>
    </row>
    <row r="76" spans="1:17" ht="13.8" x14ac:dyDescent="0.25">
      <c r="A76" s="32"/>
      <c r="B76" s="32"/>
      <c r="C76" s="32"/>
      <c r="D76" s="32"/>
      <c r="E76" s="32"/>
      <c r="F76" s="32"/>
      <c r="G76" s="32"/>
      <c r="H76" s="32"/>
      <c r="I76" s="32"/>
      <c r="J76" s="32"/>
      <c r="K76" s="32"/>
      <c r="L76" s="32"/>
      <c r="M76" s="32"/>
      <c r="N76" s="32"/>
      <c r="O76" s="32"/>
      <c r="P76" s="32"/>
      <c r="Q76" s="32"/>
    </row>
    <row r="77" spans="1:17" ht="13.8" x14ac:dyDescent="0.25">
      <c r="A77" s="32"/>
      <c r="B77" s="32"/>
      <c r="C77" s="32"/>
      <c r="D77" s="32"/>
      <c r="E77" s="32"/>
      <c r="F77" s="32"/>
      <c r="G77" s="32"/>
      <c r="H77" s="32"/>
      <c r="I77" s="32"/>
      <c r="J77" s="32"/>
      <c r="K77" s="32"/>
      <c r="L77" s="32"/>
      <c r="M77" s="32"/>
      <c r="N77" s="32"/>
      <c r="O77" s="32"/>
      <c r="P77" s="32"/>
      <c r="Q77" s="32"/>
    </row>
    <row r="78" spans="1:17" ht="13.8" x14ac:dyDescent="0.25">
      <c r="A78" s="32"/>
      <c r="B78" s="32"/>
      <c r="C78" s="32"/>
      <c r="D78" s="32"/>
      <c r="E78" s="32"/>
      <c r="F78" s="32"/>
      <c r="G78" s="32"/>
      <c r="H78" s="32"/>
      <c r="I78" s="32"/>
      <c r="J78" s="32"/>
      <c r="K78" s="32"/>
      <c r="L78" s="32"/>
      <c r="M78" s="32"/>
      <c r="N78" s="32"/>
      <c r="O78" s="32"/>
      <c r="P78" s="32"/>
      <c r="Q78" s="32"/>
    </row>
    <row r="79" spans="1:17" ht="13.8" x14ac:dyDescent="0.25">
      <c r="A79" s="32"/>
      <c r="B79" s="32"/>
      <c r="C79" s="32"/>
      <c r="D79" s="32"/>
      <c r="E79" s="32"/>
      <c r="F79" s="32"/>
      <c r="G79" s="32"/>
      <c r="H79" s="32"/>
      <c r="I79" s="32"/>
      <c r="J79" s="32"/>
      <c r="K79" s="32"/>
      <c r="L79" s="32"/>
      <c r="M79" s="32"/>
      <c r="N79" s="32"/>
      <c r="O79" s="32"/>
      <c r="P79" s="32"/>
      <c r="Q79" s="32"/>
    </row>
    <row r="80" spans="1:17" ht="13.8" x14ac:dyDescent="0.25">
      <c r="A80" s="32"/>
      <c r="B80" s="32"/>
      <c r="C80" s="32"/>
      <c r="D80" s="32"/>
      <c r="E80" s="32"/>
      <c r="F80" s="32"/>
      <c r="G80" s="32"/>
      <c r="H80" s="32"/>
      <c r="I80" s="32"/>
      <c r="J80" s="32"/>
      <c r="K80" s="32"/>
      <c r="L80" s="32"/>
      <c r="M80" s="32"/>
      <c r="N80" s="32"/>
      <c r="O80" s="32"/>
      <c r="P80" s="32"/>
      <c r="Q80" s="32"/>
    </row>
    <row r="81" spans="1:17" ht="13.8" x14ac:dyDescent="0.25">
      <c r="A81" s="32"/>
      <c r="B81" s="32"/>
      <c r="C81" s="32"/>
      <c r="D81" s="32"/>
      <c r="E81" s="32"/>
      <c r="F81" s="32"/>
      <c r="G81" s="32"/>
      <c r="H81" s="32"/>
      <c r="I81" s="32"/>
      <c r="J81" s="32"/>
      <c r="K81" s="32"/>
      <c r="L81" s="32"/>
      <c r="M81" s="32"/>
      <c r="N81" s="32"/>
      <c r="O81" s="32"/>
      <c r="P81" s="32"/>
      <c r="Q81" s="32"/>
    </row>
    <row r="82" spans="1:17" ht="13.8" x14ac:dyDescent="0.25">
      <c r="A82" s="32"/>
      <c r="B82" s="32"/>
      <c r="C82" s="32"/>
      <c r="D82" s="32"/>
      <c r="E82" s="32"/>
      <c r="F82" s="32"/>
      <c r="G82" s="32"/>
      <c r="H82" s="32"/>
      <c r="I82" s="32"/>
      <c r="J82" s="32"/>
      <c r="K82" s="32"/>
      <c r="L82" s="32"/>
      <c r="M82" s="32"/>
      <c r="N82" s="32"/>
      <c r="O82" s="32"/>
      <c r="P82" s="32"/>
      <c r="Q82" s="32"/>
    </row>
    <row r="83" spans="1:17" ht="13.8" x14ac:dyDescent="0.25">
      <c r="A83" s="32"/>
      <c r="B83" s="32"/>
      <c r="C83" s="32"/>
      <c r="D83" s="32"/>
      <c r="E83" s="32"/>
      <c r="F83" s="32"/>
      <c r="G83" s="32"/>
      <c r="H83" s="32"/>
      <c r="I83" s="32"/>
      <c r="J83" s="32"/>
      <c r="K83" s="32"/>
      <c r="L83" s="32"/>
      <c r="M83" s="32"/>
      <c r="N83" s="32"/>
      <c r="O83" s="32"/>
      <c r="P83" s="32"/>
      <c r="Q83" s="32"/>
    </row>
    <row r="84" spans="1:17" ht="13.8" x14ac:dyDescent="0.25">
      <c r="A84" s="32"/>
      <c r="B84" s="32"/>
      <c r="C84" s="32"/>
      <c r="D84" s="32"/>
      <c r="E84" s="32"/>
      <c r="F84" s="32"/>
      <c r="G84" s="32"/>
      <c r="H84" s="32"/>
      <c r="I84" s="32"/>
      <c r="J84" s="32"/>
      <c r="K84" s="32"/>
      <c r="L84" s="32"/>
      <c r="M84" s="32"/>
      <c r="N84" s="32"/>
      <c r="O84" s="32"/>
      <c r="P84" s="32"/>
      <c r="Q84" s="32"/>
    </row>
    <row r="85" spans="1:17" ht="13.8" x14ac:dyDescent="0.25">
      <c r="A85" s="32"/>
      <c r="B85" s="32"/>
      <c r="C85" s="32"/>
      <c r="D85" s="32"/>
      <c r="E85" s="32"/>
      <c r="F85" s="32"/>
      <c r="G85" s="32"/>
      <c r="H85" s="32"/>
      <c r="I85" s="32"/>
      <c r="J85" s="32"/>
      <c r="K85" s="32"/>
      <c r="L85" s="32"/>
      <c r="M85" s="32"/>
      <c r="N85" s="32"/>
      <c r="O85" s="32"/>
      <c r="P85" s="32"/>
      <c r="Q85" s="32"/>
    </row>
    <row r="86" spans="1:17" ht="13.8" x14ac:dyDescent="0.25">
      <c r="A86" s="32"/>
      <c r="B86" s="32"/>
      <c r="C86" s="32"/>
      <c r="D86" s="32"/>
      <c r="E86" s="32"/>
      <c r="F86" s="32"/>
      <c r="G86" s="32"/>
      <c r="H86" s="32"/>
      <c r="I86" s="32"/>
      <c r="J86" s="32"/>
      <c r="K86" s="32"/>
      <c r="L86" s="32"/>
      <c r="M86" s="32"/>
      <c r="N86" s="32"/>
      <c r="O86" s="32"/>
      <c r="P86" s="32"/>
      <c r="Q86" s="32"/>
    </row>
    <row r="87" spans="1:17" ht="13.8" x14ac:dyDescent="0.25">
      <c r="A87" s="32"/>
      <c r="B87" s="32"/>
      <c r="C87" s="32"/>
      <c r="D87" s="32"/>
      <c r="E87" s="32"/>
      <c r="F87" s="32"/>
      <c r="G87" s="32"/>
      <c r="H87" s="32"/>
      <c r="I87" s="32"/>
      <c r="J87" s="32"/>
      <c r="K87" s="32"/>
      <c r="L87" s="32"/>
      <c r="M87" s="32"/>
      <c r="N87" s="32"/>
      <c r="O87" s="32"/>
      <c r="P87" s="32"/>
      <c r="Q87" s="32"/>
    </row>
    <row r="88" spans="1:17" ht="13.8" x14ac:dyDescent="0.25">
      <c r="A88" s="32"/>
      <c r="B88" s="32"/>
      <c r="C88" s="32"/>
      <c r="D88" s="32"/>
      <c r="E88" s="32"/>
      <c r="F88" s="32"/>
      <c r="G88" s="32"/>
      <c r="H88" s="32"/>
      <c r="I88" s="32"/>
      <c r="J88" s="32"/>
      <c r="K88" s="32"/>
      <c r="L88" s="32"/>
      <c r="M88" s="32"/>
      <c r="N88" s="32"/>
      <c r="O88" s="32"/>
      <c r="P88" s="32"/>
      <c r="Q88" s="32"/>
    </row>
    <row r="89" spans="1:17" ht="13.8" x14ac:dyDescent="0.25">
      <c r="A89" s="32"/>
      <c r="B89" s="32"/>
      <c r="C89" s="32"/>
      <c r="D89" s="32"/>
      <c r="E89" s="32"/>
      <c r="F89" s="32"/>
      <c r="G89" s="32"/>
      <c r="H89" s="32"/>
      <c r="I89" s="32"/>
      <c r="J89" s="32"/>
      <c r="K89" s="32"/>
      <c r="L89" s="32"/>
      <c r="M89" s="32"/>
      <c r="N89" s="32"/>
      <c r="O89" s="32"/>
      <c r="P89" s="32"/>
      <c r="Q89" s="32"/>
    </row>
    <row r="90" spans="1:17" ht="13.8" x14ac:dyDescent="0.25">
      <c r="A90" s="32"/>
      <c r="B90" s="32"/>
      <c r="C90" s="32"/>
      <c r="D90" s="32"/>
      <c r="E90" s="32"/>
      <c r="F90" s="32"/>
      <c r="G90" s="32"/>
      <c r="H90" s="32"/>
      <c r="I90" s="32"/>
      <c r="J90" s="32"/>
      <c r="K90" s="32"/>
      <c r="L90" s="32"/>
      <c r="M90" s="32"/>
      <c r="N90" s="32"/>
      <c r="O90" s="32"/>
      <c r="P90" s="32"/>
      <c r="Q90" s="32"/>
    </row>
    <row r="91" spans="1:17" ht="13.8" x14ac:dyDescent="0.25">
      <c r="A91" s="32"/>
      <c r="B91" s="32"/>
      <c r="C91" s="32"/>
      <c r="D91" s="32"/>
      <c r="E91" s="32"/>
      <c r="F91" s="32"/>
      <c r="G91" s="32"/>
      <c r="H91" s="32"/>
      <c r="I91" s="32"/>
      <c r="J91" s="32"/>
      <c r="K91" s="32"/>
      <c r="L91" s="32"/>
      <c r="M91" s="32"/>
      <c r="N91" s="32"/>
      <c r="O91" s="32"/>
      <c r="P91" s="32"/>
      <c r="Q91" s="32"/>
    </row>
    <row r="92" spans="1:17" ht="13.8" x14ac:dyDescent="0.25">
      <c r="A92" s="32"/>
      <c r="B92" s="32"/>
      <c r="C92" s="32"/>
      <c r="D92" s="32"/>
      <c r="E92" s="32"/>
      <c r="F92" s="32"/>
      <c r="G92" s="32"/>
      <c r="H92" s="32"/>
      <c r="I92" s="32"/>
      <c r="J92" s="32"/>
      <c r="K92" s="32"/>
      <c r="L92" s="32"/>
      <c r="M92" s="32"/>
      <c r="N92" s="32"/>
      <c r="O92" s="32"/>
      <c r="P92" s="32"/>
      <c r="Q92" s="32"/>
    </row>
    <row r="93" spans="1:17" ht="13.8" x14ac:dyDescent="0.25">
      <c r="A93" s="32"/>
      <c r="B93" s="32"/>
      <c r="C93" s="32"/>
      <c r="D93" s="32"/>
      <c r="E93" s="32"/>
      <c r="F93" s="32"/>
      <c r="G93" s="32"/>
      <c r="H93" s="32"/>
      <c r="I93" s="32"/>
      <c r="J93" s="32"/>
      <c r="K93" s="32"/>
      <c r="L93" s="32"/>
      <c r="M93" s="32"/>
      <c r="N93" s="32"/>
      <c r="O93" s="32"/>
      <c r="P93" s="32"/>
      <c r="Q93" s="32"/>
    </row>
    <row r="94" spans="1:17" ht="13.8" x14ac:dyDescent="0.25">
      <c r="A94" s="32"/>
      <c r="B94" s="32"/>
      <c r="C94" s="32"/>
      <c r="D94" s="32"/>
      <c r="E94" s="32"/>
      <c r="F94" s="32"/>
      <c r="G94" s="32"/>
      <c r="H94" s="32"/>
      <c r="I94" s="32"/>
      <c r="J94" s="32"/>
      <c r="K94" s="32"/>
      <c r="L94" s="32"/>
      <c r="M94" s="32"/>
      <c r="N94" s="32"/>
      <c r="O94" s="32"/>
      <c r="P94" s="32"/>
      <c r="Q94" s="32"/>
    </row>
    <row r="95" spans="1:17" ht="13.8" x14ac:dyDescent="0.25">
      <c r="A95" s="32"/>
      <c r="B95" s="32"/>
      <c r="C95" s="32"/>
      <c r="D95" s="32"/>
      <c r="E95" s="32"/>
      <c r="F95" s="32"/>
      <c r="G95" s="32"/>
      <c r="H95" s="32"/>
      <c r="I95" s="32"/>
      <c r="J95" s="32"/>
      <c r="K95" s="32"/>
      <c r="L95" s="32"/>
      <c r="M95" s="32"/>
      <c r="N95" s="32"/>
      <c r="O95" s="32"/>
      <c r="P95" s="32"/>
      <c r="Q95" s="32"/>
    </row>
    <row r="96" spans="1:17" ht="13.8" x14ac:dyDescent="0.25">
      <c r="A96" s="32"/>
      <c r="B96" s="32"/>
      <c r="C96" s="32"/>
      <c r="D96" s="32"/>
      <c r="E96" s="32"/>
      <c r="F96" s="32"/>
      <c r="G96" s="32"/>
      <c r="H96" s="32"/>
      <c r="I96" s="32"/>
      <c r="J96" s="32"/>
      <c r="K96" s="32"/>
      <c r="L96" s="32"/>
      <c r="M96" s="32"/>
      <c r="N96" s="32"/>
      <c r="O96" s="32"/>
      <c r="P96" s="32"/>
      <c r="Q96" s="32"/>
    </row>
    <row r="97" spans="1:17" ht="13.8" x14ac:dyDescent="0.25">
      <c r="A97" s="32"/>
      <c r="B97" s="32"/>
      <c r="C97" s="32"/>
      <c r="D97" s="32"/>
      <c r="E97" s="32"/>
      <c r="F97" s="32"/>
      <c r="G97" s="32"/>
      <c r="H97" s="32"/>
      <c r="I97" s="32"/>
      <c r="J97" s="32"/>
      <c r="K97" s="32"/>
      <c r="L97" s="32"/>
      <c r="M97" s="32"/>
      <c r="N97" s="32"/>
      <c r="O97" s="32"/>
      <c r="P97" s="32"/>
      <c r="Q97" s="32"/>
    </row>
    <row r="98" spans="1:17" ht="13.8" x14ac:dyDescent="0.25">
      <c r="A98" s="32"/>
      <c r="B98" s="32"/>
      <c r="C98" s="32"/>
      <c r="D98" s="32"/>
      <c r="E98" s="32"/>
      <c r="F98" s="32"/>
      <c r="G98" s="32"/>
      <c r="H98" s="32"/>
      <c r="I98" s="32"/>
      <c r="J98" s="32"/>
      <c r="K98" s="32"/>
      <c r="L98" s="32"/>
      <c r="M98" s="32"/>
      <c r="N98" s="32"/>
      <c r="O98" s="32"/>
      <c r="P98" s="32"/>
      <c r="Q98" s="32"/>
    </row>
    <row r="99" spans="1:17" ht="13.8" x14ac:dyDescent="0.25">
      <c r="A99" s="32"/>
      <c r="B99" s="32"/>
      <c r="C99" s="32"/>
      <c r="D99" s="32"/>
      <c r="E99" s="32"/>
      <c r="F99" s="32"/>
      <c r="G99" s="32"/>
      <c r="H99" s="32"/>
      <c r="I99" s="32"/>
      <c r="J99" s="32"/>
      <c r="K99" s="32"/>
      <c r="L99" s="32"/>
      <c r="M99" s="32"/>
      <c r="N99" s="32"/>
      <c r="O99" s="32"/>
      <c r="P99" s="32"/>
      <c r="Q99" s="32"/>
    </row>
    <row r="100" spans="1:17" ht="13.8" x14ac:dyDescent="0.25">
      <c r="A100" s="32"/>
      <c r="B100" s="32"/>
      <c r="C100" s="32"/>
      <c r="D100" s="32"/>
      <c r="E100" s="32"/>
      <c r="F100" s="32"/>
      <c r="G100" s="32"/>
      <c r="H100" s="32"/>
      <c r="I100" s="32"/>
      <c r="J100" s="32"/>
      <c r="K100" s="32"/>
      <c r="L100" s="32"/>
      <c r="M100" s="32"/>
      <c r="N100" s="32"/>
      <c r="O100" s="32"/>
      <c r="P100" s="32"/>
      <c r="Q100" s="32"/>
    </row>
    <row r="101" spans="1:17" ht="13.8" x14ac:dyDescent="0.25">
      <c r="A101" s="32"/>
      <c r="B101" s="32"/>
      <c r="C101" s="32"/>
      <c r="D101" s="32"/>
      <c r="E101" s="32"/>
      <c r="F101" s="32"/>
      <c r="G101" s="32"/>
      <c r="H101" s="32"/>
      <c r="I101" s="32"/>
      <c r="J101" s="32"/>
      <c r="K101" s="32"/>
      <c r="L101" s="32"/>
      <c r="M101" s="32"/>
      <c r="N101" s="32"/>
      <c r="O101" s="32"/>
      <c r="P101" s="32"/>
      <c r="Q101" s="32"/>
    </row>
    <row r="102" spans="1:17" ht="13.8" x14ac:dyDescent="0.25">
      <c r="A102" s="32"/>
      <c r="B102" s="32"/>
      <c r="C102" s="32"/>
      <c r="D102" s="32"/>
      <c r="E102" s="32"/>
      <c r="F102" s="32"/>
      <c r="G102" s="32"/>
      <c r="H102" s="32"/>
      <c r="I102" s="32"/>
      <c r="J102" s="32"/>
      <c r="K102" s="32"/>
      <c r="L102" s="32"/>
      <c r="M102" s="32"/>
      <c r="N102" s="32"/>
      <c r="O102" s="32"/>
      <c r="P102" s="32"/>
      <c r="Q102" s="32"/>
    </row>
    <row r="103" spans="1:17" ht="13.8" x14ac:dyDescent="0.25">
      <c r="A103" s="32"/>
      <c r="B103" s="32"/>
      <c r="C103" s="32"/>
      <c r="D103" s="32"/>
      <c r="E103" s="32"/>
      <c r="F103" s="32"/>
      <c r="G103" s="32"/>
      <c r="H103" s="32"/>
      <c r="I103" s="32"/>
      <c r="J103" s="32"/>
      <c r="K103" s="32"/>
      <c r="L103" s="32"/>
      <c r="M103" s="32"/>
      <c r="N103" s="32"/>
      <c r="O103" s="32"/>
      <c r="P103" s="32"/>
      <c r="Q103" s="32"/>
    </row>
    <row r="104" spans="1:17" ht="13.8" x14ac:dyDescent="0.25">
      <c r="A104" s="32"/>
      <c r="B104" s="32"/>
      <c r="C104" s="32"/>
      <c r="D104" s="32"/>
      <c r="E104" s="32"/>
      <c r="F104" s="32"/>
      <c r="G104" s="32"/>
      <c r="H104" s="32"/>
      <c r="I104" s="32"/>
      <c r="J104" s="32"/>
      <c r="K104" s="32"/>
      <c r="L104" s="32"/>
      <c r="M104" s="32"/>
      <c r="N104" s="32"/>
      <c r="O104" s="32"/>
      <c r="P104" s="32"/>
      <c r="Q104" s="32"/>
    </row>
    <row r="105" spans="1:17" ht="13.8" x14ac:dyDescent="0.25">
      <c r="A105" s="32"/>
      <c r="B105" s="32"/>
      <c r="C105" s="32"/>
      <c r="D105" s="32"/>
      <c r="E105" s="32"/>
      <c r="F105" s="32"/>
      <c r="G105" s="32"/>
      <c r="H105" s="32"/>
      <c r="K105" s="32"/>
      <c r="L105" s="32"/>
      <c r="M105" s="32"/>
      <c r="N105" s="32"/>
      <c r="O105" s="32"/>
      <c r="P105" s="32"/>
      <c r="Q105" s="32"/>
    </row>
    <row r="106" spans="1:17" ht="13.8" x14ac:dyDescent="0.25">
      <c r="A106" s="32"/>
      <c r="B106" s="32"/>
      <c r="C106" s="32"/>
      <c r="D106" s="32"/>
      <c r="E106" s="32"/>
      <c r="F106" s="32"/>
      <c r="G106" s="32"/>
      <c r="H106" s="32"/>
      <c r="K106" s="32"/>
      <c r="L106" s="32"/>
      <c r="M106" s="32"/>
      <c r="N106" s="32"/>
      <c r="O106" s="32"/>
      <c r="P106" s="32"/>
      <c r="Q106" s="32"/>
    </row>
    <row r="107" spans="1:17" ht="13.8" x14ac:dyDescent="0.25">
      <c r="A107" s="32"/>
      <c r="B107" s="32"/>
      <c r="C107" s="32"/>
      <c r="D107" s="32"/>
      <c r="E107" s="32"/>
      <c r="F107" s="32"/>
      <c r="G107" s="32"/>
      <c r="H107" s="32"/>
      <c r="K107" s="32"/>
      <c r="L107" s="32"/>
      <c r="M107" s="32"/>
      <c r="N107" s="32"/>
      <c r="O107" s="32"/>
      <c r="P107" s="32"/>
      <c r="Q107" s="32"/>
    </row>
    <row r="108" spans="1:17" ht="13.8" x14ac:dyDescent="0.25">
      <c r="A108" s="32"/>
      <c r="B108" s="32"/>
      <c r="C108" s="32"/>
      <c r="D108" s="32"/>
      <c r="E108" s="32"/>
      <c r="F108" s="32"/>
      <c r="G108" s="32"/>
      <c r="H108" s="32"/>
      <c r="K108" s="32"/>
      <c r="L108" s="32"/>
      <c r="M108" s="32"/>
      <c r="N108" s="32"/>
      <c r="O108" s="32"/>
      <c r="P108" s="32"/>
      <c r="Q108" s="32"/>
    </row>
    <row r="109" spans="1:17" ht="13.8" x14ac:dyDescent="0.25">
      <c r="A109" s="32"/>
      <c r="B109" s="32"/>
      <c r="C109" s="32"/>
      <c r="D109" s="32"/>
      <c r="E109" s="32"/>
      <c r="F109" s="32"/>
      <c r="G109" s="32"/>
      <c r="H109" s="32"/>
      <c r="K109" s="32"/>
      <c r="L109" s="32"/>
      <c r="M109" s="32"/>
      <c r="N109" s="32"/>
      <c r="O109" s="32"/>
      <c r="P109" s="32"/>
      <c r="Q109" s="32"/>
    </row>
    <row r="110" spans="1:17" ht="13.8" x14ac:dyDescent="0.25">
      <c r="A110" s="32"/>
      <c r="B110" s="32"/>
      <c r="C110" s="32"/>
      <c r="D110" s="32"/>
      <c r="E110" s="32"/>
      <c r="F110" s="32"/>
      <c r="G110" s="32"/>
      <c r="H110" s="32"/>
      <c r="K110" s="32"/>
      <c r="L110" s="32"/>
      <c r="M110" s="32"/>
      <c r="N110" s="32"/>
      <c r="O110" s="32"/>
      <c r="P110" s="32"/>
      <c r="Q110" s="32"/>
    </row>
    <row r="111" spans="1:17" ht="13.8" x14ac:dyDescent="0.25">
      <c r="A111" s="32"/>
      <c r="B111" s="32"/>
      <c r="C111" s="32"/>
      <c r="D111" s="32"/>
      <c r="E111" s="32"/>
      <c r="F111" s="32"/>
      <c r="G111" s="32"/>
      <c r="H111" s="32"/>
      <c r="K111" s="32"/>
      <c r="L111" s="32"/>
      <c r="M111" s="32"/>
      <c r="N111" s="32"/>
      <c r="O111" s="32"/>
      <c r="P111" s="32"/>
      <c r="Q111" s="32"/>
    </row>
    <row r="112" spans="1:17" ht="13.8" x14ac:dyDescent="0.25">
      <c r="A112" s="32"/>
      <c r="B112" s="32"/>
      <c r="C112" s="32"/>
      <c r="D112" s="32"/>
      <c r="E112" s="32"/>
      <c r="F112" s="32"/>
      <c r="G112" s="32"/>
      <c r="H112" s="32"/>
      <c r="K112" s="32"/>
      <c r="L112" s="32"/>
      <c r="M112" s="32"/>
      <c r="N112" s="32"/>
      <c r="O112" s="32"/>
      <c r="P112" s="32"/>
      <c r="Q112" s="32"/>
    </row>
    <row r="113" spans="1:17" ht="13.8" x14ac:dyDescent="0.25">
      <c r="A113" s="32"/>
      <c r="B113" s="32"/>
      <c r="C113" s="32"/>
      <c r="D113" s="32"/>
      <c r="E113" s="32"/>
      <c r="F113" s="32"/>
      <c r="G113" s="32"/>
      <c r="H113" s="32"/>
      <c r="K113" s="32"/>
      <c r="L113" s="32"/>
      <c r="M113" s="32"/>
      <c r="N113" s="32"/>
      <c r="O113" s="32"/>
      <c r="P113" s="32"/>
      <c r="Q113" s="32"/>
    </row>
    <row r="114" spans="1:17" ht="13.8" x14ac:dyDescent="0.25">
      <c r="A114" s="32"/>
      <c r="B114" s="32"/>
      <c r="C114" s="32"/>
      <c r="D114" s="32"/>
      <c r="E114" s="32"/>
      <c r="F114" s="32"/>
      <c r="G114" s="32"/>
      <c r="H114" s="32"/>
      <c r="K114" s="32"/>
      <c r="L114" s="32"/>
      <c r="M114" s="32"/>
      <c r="N114" s="32"/>
      <c r="O114" s="32"/>
      <c r="P114" s="32"/>
      <c r="Q114" s="32"/>
    </row>
    <row r="115" spans="1:17" ht="13.8" x14ac:dyDescent="0.25">
      <c r="A115" s="32"/>
      <c r="B115" s="32"/>
      <c r="C115" s="32"/>
      <c r="D115" s="32"/>
      <c r="E115" s="32"/>
      <c r="F115" s="32"/>
      <c r="G115" s="32"/>
      <c r="H115" s="32"/>
      <c r="K115" s="32"/>
      <c r="L115" s="32"/>
      <c r="M115" s="32"/>
      <c r="N115" s="32"/>
      <c r="O115" s="32"/>
      <c r="P115" s="32"/>
      <c r="Q115" s="32"/>
    </row>
    <row r="116" spans="1:17" ht="13.8" x14ac:dyDescent="0.25">
      <c r="A116" s="32"/>
      <c r="B116" s="32"/>
      <c r="C116" s="32"/>
      <c r="D116" s="32"/>
      <c r="E116" s="32"/>
      <c r="F116" s="32"/>
      <c r="G116" s="32"/>
      <c r="H116" s="32"/>
      <c r="K116" s="32"/>
      <c r="L116" s="32"/>
      <c r="M116" s="32"/>
      <c r="N116" s="32"/>
      <c r="O116" s="32"/>
      <c r="P116" s="32"/>
      <c r="Q116" s="32"/>
    </row>
    <row r="117" spans="1:17" ht="13.8" x14ac:dyDescent="0.25">
      <c r="A117" s="32"/>
      <c r="B117" s="32"/>
      <c r="C117" s="32"/>
      <c r="D117" s="32"/>
      <c r="E117" s="32"/>
      <c r="F117" s="32"/>
      <c r="G117" s="32"/>
      <c r="H117" s="32"/>
      <c r="K117" s="32"/>
      <c r="L117" s="32"/>
      <c r="M117" s="32"/>
      <c r="N117" s="32"/>
      <c r="O117" s="32"/>
      <c r="P117" s="32"/>
      <c r="Q117" s="32"/>
    </row>
    <row r="118" spans="1:17" ht="13.8" x14ac:dyDescent="0.25">
      <c r="A118" s="32"/>
      <c r="B118" s="32"/>
      <c r="C118" s="32"/>
      <c r="D118" s="32"/>
      <c r="E118" s="32"/>
      <c r="F118" s="32"/>
      <c r="G118" s="32"/>
    </row>
    <row r="119" spans="1:17" ht="13.8" x14ac:dyDescent="0.25">
      <c r="A119" s="32"/>
      <c r="B119" s="32"/>
      <c r="C119" s="32"/>
      <c r="D119" s="32"/>
      <c r="E119" s="32"/>
      <c r="F119" s="32"/>
      <c r="G119" s="32"/>
    </row>
    <row r="120" spans="1:17" ht="13.8" x14ac:dyDescent="0.25">
      <c r="A120" s="32"/>
      <c r="B120" s="32"/>
      <c r="C120" s="32"/>
      <c r="D120" s="32"/>
      <c r="E120" s="32"/>
      <c r="F120" s="32"/>
      <c r="G120" s="32"/>
    </row>
    <row r="121" spans="1:17" ht="13.8" x14ac:dyDescent="0.25">
      <c r="A121" s="32"/>
      <c r="B121" s="32"/>
      <c r="C121" s="32"/>
      <c r="D121" s="32"/>
      <c r="E121" s="32"/>
      <c r="F121" s="32"/>
      <c r="G121" s="32"/>
    </row>
    <row r="122" spans="1:17" ht="13.8" x14ac:dyDescent="0.25">
      <c r="A122" s="32"/>
      <c r="B122" s="32"/>
      <c r="C122" s="32"/>
      <c r="D122" s="32"/>
      <c r="E122" s="32"/>
      <c r="F122" s="32"/>
      <c r="G122" s="32"/>
    </row>
    <row r="123" spans="1:17" ht="13.8" x14ac:dyDescent="0.25">
      <c r="A123" s="32"/>
      <c r="B123" s="32"/>
      <c r="C123" s="32"/>
      <c r="D123" s="32"/>
      <c r="E123" s="32"/>
      <c r="F123" s="32"/>
      <c r="G123" s="32"/>
    </row>
    <row r="124" spans="1:17" ht="13.8" x14ac:dyDescent="0.25">
      <c r="A124" s="32"/>
      <c r="B124" s="32"/>
      <c r="C124" s="32"/>
      <c r="D124" s="32"/>
      <c r="E124" s="32"/>
      <c r="F124" s="32"/>
      <c r="G124" s="32"/>
    </row>
    <row r="125" spans="1:17" ht="13.8" x14ac:dyDescent="0.25">
      <c r="A125" s="32"/>
      <c r="B125" s="32"/>
      <c r="C125" s="32"/>
      <c r="D125" s="32"/>
      <c r="E125" s="32"/>
      <c r="F125" s="32"/>
      <c r="G125" s="32"/>
    </row>
    <row r="126" spans="1:17" ht="13.8" x14ac:dyDescent="0.25">
      <c r="A126" s="32"/>
      <c r="B126" s="32"/>
      <c r="C126" s="32"/>
      <c r="D126" s="32"/>
      <c r="E126" s="32"/>
      <c r="F126" s="32"/>
      <c r="G126" s="32"/>
    </row>
    <row r="127" spans="1:17" ht="13.8" x14ac:dyDescent="0.25">
      <c r="A127" s="32"/>
      <c r="B127" s="32"/>
      <c r="C127" s="32"/>
      <c r="D127" s="32"/>
      <c r="E127" s="32"/>
      <c r="F127" s="32"/>
      <c r="G127" s="32"/>
    </row>
    <row r="128" spans="1:17" ht="13.8" x14ac:dyDescent="0.25">
      <c r="A128" s="32"/>
      <c r="B128" s="32"/>
      <c r="C128" s="32"/>
      <c r="D128" s="32"/>
      <c r="E128" s="32"/>
      <c r="F128" s="32"/>
      <c r="G128" s="32"/>
    </row>
    <row r="129" spans="1:7" ht="13.8" x14ac:dyDescent="0.25">
      <c r="A129" s="32"/>
      <c r="B129" s="32"/>
      <c r="C129" s="32"/>
      <c r="D129" s="32"/>
      <c r="E129" s="32"/>
      <c r="F129" s="32"/>
      <c r="G129" s="32"/>
    </row>
    <row r="130" spans="1:7" ht="13.8" x14ac:dyDescent="0.25">
      <c r="A130" s="32"/>
      <c r="B130" s="32"/>
      <c r="C130" s="32"/>
      <c r="D130" s="32"/>
      <c r="E130" s="32"/>
      <c r="F130" s="32"/>
      <c r="G130" s="32"/>
    </row>
    <row r="131" spans="1:7" ht="13.8" x14ac:dyDescent="0.25">
      <c r="A131" s="32"/>
      <c r="B131" s="32"/>
      <c r="C131" s="32"/>
      <c r="D131" s="32"/>
      <c r="E131" s="32"/>
      <c r="F131" s="32"/>
      <c r="G131" s="32"/>
    </row>
    <row r="132" spans="1:7" ht="13.8" x14ac:dyDescent="0.25">
      <c r="A132" s="32"/>
      <c r="B132" s="32"/>
      <c r="C132" s="32"/>
      <c r="D132" s="32"/>
      <c r="E132" s="32"/>
      <c r="F132" s="32"/>
      <c r="G132" s="32"/>
    </row>
    <row r="133" spans="1:7" ht="13.8" x14ac:dyDescent="0.25">
      <c r="A133" s="32"/>
      <c r="B133" s="32"/>
      <c r="C133" s="32"/>
      <c r="D133" s="32"/>
      <c r="E133" s="32"/>
      <c r="F133" s="32"/>
      <c r="G133" s="32"/>
    </row>
    <row r="134" spans="1:7" ht="13.8" x14ac:dyDescent="0.25">
      <c r="A134" s="32"/>
      <c r="B134" s="32"/>
      <c r="C134" s="32"/>
      <c r="D134" s="32"/>
      <c r="E134" s="32"/>
      <c r="F134" s="32"/>
      <c r="G134" s="32"/>
    </row>
    <row r="135" spans="1:7" ht="13.8" x14ac:dyDescent="0.25">
      <c r="A135" s="32"/>
      <c r="B135" s="32"/>
      <c r="C135" s="32"/>
      <c r="D135" s="32"/>
      <c r="E135" s="32"/>
      <c r="F135" s="32"/>
      <c r="G135" s="32"/>
    </row>
    <row r="136" spans="1:7" ht="13.8" x14ac:dyDescent="0.25">
      <c r="A136" s="32"/>
      <c r="B136" s="32"/>
      <c r="C136" s="32"/>
      <c r="D136" s="32"/>
      <c r="E136" s="32"/>
      <c r="F136" s="32"/>
      <c r="G136" s="32"/>
    </row>
    <row r="137" spans="1:7" ht="13.8" x14ac:dyDescent="0.25">
      <c r="A137" s="32"/>
      <c r="B137" s="32"/>
      <c r="C137" s="32"/>
      <c r="D137" s="32"/>
      <c r="E137" s="32"/>
      <c r="F137" s="32"/>
      <c r="G137" s="32"/>
    </row>
    <row r="138" spans="1:7" ht="13.8" x14ac:dyDescent="0.25">
      <c r="A138" s="32"/>
      <c r="B138" s="32"/>
      <c r="C138" s="32"/>
      <c r="D138" s="32"/>
      <c r="E138" s="32"/>
      <c r="F138" s="32"/>
      <c r="G138" s="32"/>
    </row>
    <row r="139" spans="1:7" ht="13.8" x14ac:dyDescent="0.25">
      <c r="A139" s="32"/>
      <c r="B139" s="32"/>
      <c r="C139" s="32"/>
      <c r="D139" s="32"/>
      <c r="E139" s="32"/>
      <c r="F139" s="32"/>
      <c r="G139" s="32"/>
    </row>
    <row r="140" spans="1:7" ht="13.8" x14ac:dyDescent="0.25">
      <c r="A140" s="32"/>
      <c r="B140" s="32"/>
      <c r="C140" s="32"/>
      <c r="D140" s="32"/>
      <c r="E140" s="32"/>
      <c r="F140" s="32"/>
      <c r="G140" s="32"/>
    </row>
    <row r="141" spans="1:7" ht="13.8" x14ac:dyDescent="0.25">
      <c r="A141" s="32"/>
      <c r="B141" s="32"/>
      <c r="C141" s="32"/>
      <c r="D141" s="32"/>
      <c r="E141" s="32"/>
      <c r="F141" s="32"/>
      <c r="G141" s="32"/>
    </row>
    <row r="142" spans="1:7" ht="13.8" x14ac:dyDescent="0.25">
      <c r="A142" s="32"/>
      <c r="B142" s="32"/>
      <c r="C142" s="32"/>
      <c r="D142" s="32"/>
      <c r="E142" s="32"/>
      <c r="F142" s="32"/>
      <c r="G142" s="32"/>
    </row>
    <row r="143" spans="1:7" ht="13.8" x14ac:dyDescent="0.25">
      <c r="A143" s="32"/>
      <c r="B143" s="32"/>
      <c r="C143" s="32"/>
      <c r="D143" s="32"/>
      <c r="E143" s="32"/>
      <c r="F143" s="32"/>
      <c r="G143" s="32"/>
    </row>
    <row r="144" spans="1:7" ht="13.8" x14ac:dyDescent="0.25">
      <c r="A144" s="32"/>
      <c r="B144" s="32"/>
      <c r="C144" s="32"/>
      <c r="D144" s="32"/>
      <c r="E144" s="32"/>
      <c r="F144" s="32"/>
      <c r="G144" s="32"/>
    </row>
    <row r="145" spans="1:7" ht="13.8" x14ac:dyDescent="0.25">
      <c r="A145" s="32"/>
      <c r="B145" s="32"/>
      <c r="C145" s="32"/>
      <c r="D145" s="32"/>
      <c r="E145" s="32"/>
      <c r="F145" s="32"/>
      <c r="G145" s="32"/>
    </row>
    <row r="146" spans="1:7" ht="13.8" x14ac:dyDescent="0.25">
      <c r="A146" s="32"/>
      <c r="B146" s="32"/>
      <c r="C146" s="32"/>
      <c r="D146" s="32"/>
      <c r="E146" s="32"/>
      <c r="F146" s="32"/>
      <c r="G146" s="32"/>
    </row>
    <row r="147" spans="1:7" ht="13.8" x14ac:dyDescent="0.25">
      <c r="A147" s="32"/>
      <c r="B147" s="32"/>
      <c r="C147" s="32"/>
      <c r="D147" s="32"/>
      <c r="E147" s="32"/>
      <c r="F147" s="32"/>
      <c r="G147" s="32"/>
    </row>
    <row r="148" spans="1:7" ht="13.8" x14ac:dyDescent="0.25">
      <c r="A148" s="32"/>
      <c r="B148" s="32"/>
      <c r="C148" s="32"/>
      <c r="D148" s="32"/>
      <c r="E148" s="32"/>
      <c r="F148" s="32"/>
      <c r="G148" s="32"/>
    </row>
    <row r="149" spans="1:7" ht="13.8" x14ac:dyDescent="0.25">
      <c r="A149" s="32"/>
      <c r="B149" s="32"/>
      <c r="C149" s="32"/>
      <c r="D149" s="32"/>
      <c r="E149" s="32"/>
      <c r="F149" s="32"/>
      <c r="G149" s="32"/>
    </row>
    <row r="150" spans="1:7" ht="13.8" x14ac:dyDescent="0.25">
      <c r="A150" s="32"/>
      <c r="B150" s="32"/>
      <c r="C150" s="32"/>
      <c r="D150" s="32"/>
      <c r="E150" s="32"/>
      <c r="F150" s="32"/>
      <c r="G150" s="32"/>
    </row>
    <row r="151" spans="1:7" ht="13.8" x14ac:dyDescent="0.25">
      <c r="A151" s="32"/>
      <c r="B151" s="32"/>
      <c r="C151" s="32"/>
      <c r="D151" s="32"/>
      <c r="E151" s="32"/>
      <c r="F151" s="32"/>
      <c r="G151" s="32"/>
    </row>
    <row r="152" spans="1:7" ht="13.8" x14ac:dyDescent="0.25">
      <c r="A152" s="32"/>
      <c r="B152" s="32"/>
      <c r="C152" s="32"/>
      <c r="D152" s="32"/>
      <c r="E152" s="32"/>
      <c r="F152" s="32"/>
      <c r="G152" s="32"/>
    </row>
    <row r="153" spans="1:7" ht="13.8" x14ac:dyDescent="0.25">
      <c r="A153" s="32"/>
      <c r="B153" s="32"/>
      <c r="C153" s="32"/>
      <c r="D153" s="32"/>
      <c r="E153" s="32"/>
      <c r="F153" s="32"/>
      <c r="G153" s="32"/>
    </row>
    <row r="154" spans="1:7" ht="13.8" x14ac:dyDescent="0.25">
      <c r="A154" s="32"/>
      <c r="B154" s="32"/>
      <c r="C154" s="32"/>
      <c r="D154" s="32"/>
      <c r="E154" s="32"/>
      <c r="F154" s="32"/>
      <c r="G154" s="32"/>
    </row>
    <row r="155" spans="1:7" ht="13.8" x14ac:dyDescent="0.25">
      <c r="A155" s="32"/>
      <c r="B155" s="32"/>
      <c r="C155" s="32"/>
      <c r="D155" s="32"/>
      <c r="E155" s="32"/>
      <c r="F155" s="32"/>
      <c r="G155" s="32"/>
    </row>
    <row r="156" spans="1:7" ht="13.8" x14ac:dyDescent="0.25">
      <c r="A156" s="32"/>
      <c r="B156" s="32"/>
      <c r="C156" s="32"/>
      <c r="D156" s="32"/>
      <c r="E156" s="32"/>
      <c r="F156" s="32"/>
      <c r="G156" s="32"/>
    </row>
    <row r="157" spans="1:7" ht="13.8" x14ac:dyDescent="0.25">
      <c r="A157" s="32"/>
      <c r="B157" s="32"/>
      <c r="C157" s="32"/>
      <c r="D157" s="32"/>
      <c r="E157" s="32"/>
      <c r="F157" s="32"/>
      <c r="G157" s="32"/>
    </row>
    <row r="158" spans="1:7" ht="13.8" x14ac:dyDescent="0.25">
      <c r="B158" s="32"/>
      <c r="C158" s="32"/>
      <c r="D158" s="32"/>
      <c r="E158" s="32"/>
      <c r="F158" s="32"/>
      <c r="G158" s="32"/>
    </row>
    <row r="159" spans="1:7" ht="13.8" x14ac:dyDescent="0.25">
      <c r="B159" s="32"/>
      <c r="C159" s="32"/>
      <c r="D159" s="32"/>
      <c r="E159" s="32"/>
      <c r="F159" s="32"/>
      <c r="G159" s="32"/>
    </row>
    <row r="160" spans="1:7" ht="13.8" x14ac:dyDescent="0.25">
      <c r="B160" s="32"/>
      <c r="C160" s="32"/>
      <c r="D160" s="32"/>
      <c r="E160" s="32"/>
      <c r="F160" s="32"/>
      <c r="G160" s="32"/>
    </row>
    <row r="161" spans="2:7" ht="13.8" x14ac:dyDescent="0.25">
      <c r="B161" s="32"/>
      <c r="C161" s="32"/>
      <c r="D161" s="32"/>
      <c r="E161" s="32"/>
      <c r="F161" s="32"/>
      <c r="G161" s="32"/>
    </row>
    <row r="162" spans="2:7" ht="13.8" x14ac:dyDescent="0.25">
      <c r="B162" s="32"/>
      <c r="C162" s="32"/>
      <c r="D162" s="32"/>
      <c r="E162" s="32"/>
      <c r="F162" s="32"/>
      <c r="G162" s="32"/>
    </row>
    <row r="163" spans="2:7" ht="13.8" x14ac:dyDescent="0.25">
      <c r="B163" s="32"/>
      <c r="C163" s="32"/>
      <c r="D163" s="32"/>
      <c r="E163" s="32"/>
      <c r="F163" s="32"/>
      <c r="G163" s="32"/>
    </row>
    <row r="164" spans="2:7" ht="13.8" x14ac:dyDescent="0.25">
      <c r="B164" s="32"/>
      <c r="C164" s="32"/>
      <c r="D164" s="32"/>
      <c r="E164" s="32"/>
      <c r="F164" s="32"/>
      <c r="G164" s="32"/>
    </row>
    <row r="165" spans="2:7" ht="13.8" x14ac:dyDescent="0.25"/>
    <row r="166" spans="2:7" ht="14.1" customHeight="1" x14ac:dyDescent="0.25"/>
    <row r="167" spans="2:7" ht="14.1" customHeight="1" x14ac:dyDescent="0.25"/>
    <row r="168" spans="2:7" ht="14.1" customHeight="1" x14ac:dyDescent="0.25"/>
    <row r="169" spans="2:7" ht="14.1" customHeight="1" x14ac:dyDescent="0.25"/>
    <row r="170" spans="2:7" ht="14.1" customHeight="1" x14ac:dyDescent="0.25"/>
    <row r="171" spans="2:7" ht="14.1" customHeight="1" x14ac:dyDescent="0.25"/>
    <row r="172" spans="2:7" ht="14.1" customHeight="1" x14ac:dyDescent="0.25"/>
    <row r="173" spans="2:7" ht="14.1" customHeight="1" x14ac:dyDescent="0.25"/>
    <row r="174" spans="2:7" ht="14.1" customHeight="1" x14ac:dyDescent="0.25"/>
    <row r="175" spans="2:7" ht="14.1" customHeight="1" x14ac:dyDescent="0.25"/>
    <row r="176" spans="2:7" ht="14.1" customHeight="1" x14ac:dyDescent="0.25"/>
    <row r="177" ht="14.1" customHeight="1" x14ac:dyDescent="0.25"/>
    <row r="178" ht="14.1" customHeight="1" x14ac:dyDescent="0.25"/>
    <row r="179" ht="14.1" customHeight="1" x14ac:dyDescent="0.25"/>
    <row r="180" ht="14.1" customHeight="1" x14ac:dyDescent="0.25"/>
    <row r="181" ht="14.1" customHeight="1" x14ac:dyDescent="0.25"/>
    <row r="182" ht="14.1" customHeight="1" x14ac:dyDescent="0.25"/>
    <row r="183" ht="14.1" customHeight="1" x14ac:dyDescent="0.25"/>
    <row r="184" ht="14.1" customHeight="1" x14ac:dyDescent="0.25"/>
    <row r="185" ht="14.1" customHeight="1" x14ac:dyDescent="0.25"/>
    <row r="186" ht="14.1" customHeight="1" x14ac:dyDescent="0.25"/>
    <row r="187" ht="14.1" customHeight="1" x14ac:dyDescent="0.25"/>
    <row r="188" ht="14.1" customHeight="1" x14ac:dyDescent="0.25"/>
    <row r="189" ht="14.1" customHeight="1" x14ac:dyDescent="0.25"/>
    <row r="190" ht="14.1" customHeight="1" x14ac:dyDescent="0.25"/>
    <row r="191" ht="14.1" customHeight="1" x14ac:dyDescent="0.25"/>
    <row r="192" ht="14.1" customHeight="1" x14ac:dyDescent="0.25"/>
    <row r="193" ht="14.1" customHeight="1" x14ac:dyDescent="0.25"/>
    <row r="194" ht="14.1" customHeight="1" x14ac:dyDescent="0.25"/>
    <row r="195" ht="14.1" customHeight="1" x14ac:dyDescent="0.25"/>
    <row r="196" ht="14.1" customHeight="1" x14ac:dyDescent="0.25"/>
    <row r="197" ht="14.1" customHeight="1" x14ac:dyDescent="0.25"/>
    <row r="198" ht="14.1" customHeight="1" x14ac:dyDescent="0.25"/>
    <row r="199" ht="14.1" customHeight="1" x14ac:dyDescent="0.25"/>
    <row r="200" ht="14.1" customHeight="1" x14ac:dyDescent="0.25"/>
    <row r="201" ht="14.1" customHeight="1" x14ac:dyDescent="0.25"/>
    <row r="202" ht="14.1" customHeight="1" x14ac:dyDescent="0.25"/>
    <row r="203" ht="14.1" customHeight="1" x14ac:dyDescent="0.25"/>
    <row r="204" ht="14.1" customHeight="1" x14ac:dyDescent="0.25"/>
    <row r="205" ht="14.1" customHeight="1" x14ac:dyDescent="0.25"/>
    <row r="206" ht="14.1" customHeight="1" x14ac:dyDescent="0.25"/>
    <row r="207" ht="14.1" customHeight="1" x14ac:dyDescent="0.25"/>
    <row r="208" ht="14.1" customHeight="1" x14ac:dyDescent="0.25"/>
    <row r="209" ht="14.1" customHeight="1" x14ac:dyDescent="0.25"/>
    <row r="210" ht="14.1" customHeight="1" x14ac:dyDescent="0.25"/>
    <row r="211" ht="14.1" customHeight="1" x14ac:dyDescent="0.25"/>
    <row r="212" ht="14.1" customHeight="1" x14ac:dyDescent="0.25"/>
    <row r="213" ht="14.1" customHeight="1" x14ac:dyDescent="0.25"/>
    <row r="214" ht="14.1" customHeight="1" x14ac:dyDescent="0.25"/>
    <row r="215" ht="14.1" customHeight="1" x14ac:dyDescent="0.25"/>
    <row r="216" ht="14.1" customHeight="1" x14ac:dyDescent="0.25"/>
    <row r="217" ht="14.1" customHeight="1" x14ac:dyDescent="0.25"/>
    <row r="218" ht="14.1" customHeight="1" x14ac:dyDescent="0.25"/>
    <row r="219" ht="14.1" customHeight="1" x14ac:dyDescent="0.25"/>
    <row r="220" ht="14.1" customHeight="1" x14ac:dyDescent="0.25"/>
    <row r="221" ht="14.1" customHeight="1" x14ac:dyDescent="0.25"/>
    <row r="222" ht="14.1" customHeight="1" x14ac:dyDescent="0.25"/>
    <row r="223" ht="14.1" customHeight="1" x14ac:dyDescent="0.25"/>
    <row r="224" ht="14.1" customHeight="1" x14ac:dyDescent="0.25"/>
    <row r="225" ht="14.1" customHeight="1" x14ac:dyDescent="0.25"/>
    <row r="226" ht="14.1" customHeight="1" x14ac:dyDescent="0.25"/>
    <row r="227" ht="14.1" customHeight="1" x14ac:dyDescent="0.25"/>
    <row r="228" ht="14.1" customHeight="1" x14ac:dyDescent="0.25"/>
    <row r="229" ht="14.1" customHeight="1" x14ac:dyDescent="0.25"/>
    <row r="230" ht="14.1" customHeight="1" x14ac:dyDescent="0.25"/>
    <row r="231" ht="14.1" customHeight="1" x14ac:dyDescent="0.25"/>
    <row r="232" ht="14.1" customHeight="1" x14ac:dyDescent="0.25"/>
    <row r="233" ht="14.1" customHeight="1" x14ac:dyDescent="0.25"/>
    <row r="234" ht="14.1" customHeight="1" x14ac:dyDescent="0.25"/>
    <row r="235" ht="14.1" customHeight="1" x14ac:dyDescent="0.25"/>
    <row r="236" ht="14.1" customHeight="1" x14ac:dyDescent="0.25"/>
    <row r="237" ht="14.1" customHeight="1" x14ac:dyDescent="0.25"/>
    <row r="238" ht="14.1" customHeight="1" x14ac:dyDescent="0.25"/>
    <row r="239" ht="14.1" customHeight="1" x14ac:dyDescent="0.25"/>
    <row r="240" ht="14.1" customHeight="1" x14ac:dyDescent="0.25"/>
    <row r="241" ht="14.1" customHeight="1" x14ac:dyDescent="0.25"/>
    <row r="242" ht="14.1" customHeight="1" x14ac:dyDescent="0.25"/>
    <row r="243" ht="14.1" customHeight="1" x14ac:dyDescent="0.25"/>
    <row r="244" ht="14.1" customHeight="1" x14ac:dyDescent="0.25"/>
    <row r="245" ht="14.1" customHeight="1" x14ac:dyDescent="0.25"/>
    <row r="246" ht="14.1" customHeight="1" x14ac:dyDescent="0.25"/>
    <row r="247" ht="14.1" customHeight="1" x14ac:dyDescent="0.25"/>
    <row r="248" ht="14.1" customHeight="1" x14ac:dyDescent="0.25"/>
    <row r="249" ht="14.1" customHeight="1" x14ac:dyDescent="0.25"/>
    <row r="250" ht="14.1" customHeight="1" x14ac:dyDescent="0.25"/>
    <row r="251" ht="14.1" customHeight="1" x14ac:dyDescent="0.25"/>
    <row r="252" ht="14.1" customHeight="1" x14ac:dyDescent="0.25"/>
    <row r="253" ht="14.1" customHeight="1" x14ac:dyDescent="0.25"/>
    <row r="254" ht="14.1" customHeight="1" x14ac:dyDescent="0.25"/>
    <row r="255" ht="14.1" customHeight="1" x14ac:dyDescent="0.25"/>
    <row r="256" ht="14.1" customHeight="1" x14ac:dyDescent="0.25"/>
    <row r="257" ht="14.1" customHeight="1" x14ac:dyDescent="0.25"/>
    <row r="258" ht="14.1" customHeight="1" x14ac:dyDescent="0.25"/>
    <row r="259" ht="14.1" customHeight="1" x14ac:dyDescent="0.25"/>
    <row r="260" ht="14.1" customHeight="1" x14ac:dyDescent="0.25"/>
    <row r="261" ht="14.1" customHeight="1" x14ac:dyDescent="0.25"/>
    <row r="262" ht="14.1" customHeight="1" x14ac:dyDescent="0.25"/>
    <row r="263" ht="14.1" customHeight="1" x14ac:dyDescent="0.25"/>
    <row r="264" ht="14.1" customHeight="1" x14ac:dyDescent="0.25"/>
    <row r="265" ht="14.1" customHeight="1" x14ac:dyDescent="0.25"/>
    <row r="266" ht="14.1" customHeight="1" x14ac:dyDescent="0.25"/>
    <row r="267" ht="14.1" customHeight="1" x14ac:dyDescent="0.25"/>
    <row r="268" ht="14.1" customHeight="1" x14ac:dyDescent="0.25"/>
    <row r="269" ht="14.1" customHeight="1" x14ac:dyDescent="0.25"/>
    <row r="270" ht="14.1" customHeight="1" x14ac:dyDescent="0.25"/>
    <row r="271" ht="14.1" customHeight="1" x14ac:dyDescent="0.25"/>
    <row r="272" ht="14.1" customHeight="1" x14ac:dyDescent="0.25"/>
    <row r="273" ht="14.1" customHeight="1" x14ac:dyDescent="0.25"/>
    <row r="274" ht="14.1" customHeight="1" x14ac:dyDescent="0.25"/>
    <row r="275" ht="14.1" customHeight="1" x14ac:dyDescent="0.25"/>
    <row r="276" ht="14.1" customHeight="1" x14ac:dyDescent="0.25"/>
    <row r="277" ht="14.1" customHeight="1" x14ac:dyDescent="0.25"/>
    <row r="278" ht="14.1" customHeight="1" x14ac:dyDescent="0.25"/>
    <row r="279" ht="14.1" customHeight="1" x14ac:dyDescent="0.25"/>
    <row r="280" ht="14.1" customHeight="1" x14ac:dyDescent="0.25"/>
    <row r="281" ht="14.1" customHeight="1" x14ac:dyDescent="0.25"/>
    <row r="282" ht="14.1" customHeight="1" x14ac:dyDescent="0.25"/>
    <row r="283" ht="14.1" customHeight="1" x14ac:dyDescent="0.25"/>
    <row r="284" ht="14.1" customHeight="1" x14ac:dyDescent="0.25"/>
    <row r="285" ht="14.1" customHeight="1" x14ac:dyDescent="0.25"/>
    <row r="286" ht="14.1" customHeight="1" x14ac:dyDescent="0.25"/>
    <row r="287" ht="14.1" customHeight="1" x14ac:dyDescent="0.25"/>
    <row r="288" ht="14.1" customHeight="1" x14ac:dyDescent="0.25"/>
    <row r="289" ht="14.1" customHeight="1" x14ac:dyDescent="0.25"/>
    <row r="290" ht="14.1" customHeight="1" x14ac:dyDescent="0.25"/>
    <row r="291" ht="14.1" customHeight="1" x14ac:dyDescent="0.25"/>
    <row r="292" ht="14.1" customHeight="1" x14ac:dyDescent="0.25"/>
    <row r="293" ht="14.1" customHeight="1" x14ac:dyDescent="0.25"/>
    <row r="294" ht="14.1" customHeight="1" x14ac:dyDescent="0.25"/>
    <row r="295" ht="14.1" customHeight="1" x14ac:dyDescent="0.25"/>
    <row r="296" ht="14.1" customHeight="1" x14ac:dyDescent="0.25"/>
    <row r="297" ht="14.1" customHeight="1" x14ac:dyDescent="0.25"/>
    <row r="298" ht="14.1" customHeight="1" x14ac:dyDescent="0.25"/>
    <row r="299" ht="14.1" customHeight="1" x14ac:dyDescent="0.25"/>
    <row r="300" ht="14.1" customHeight="1" x14ac:dyDescent="0.25"/>
    <row r="301" ht="14.1" customHeight="1" x14ac:dyDescent="0.25"/>
    <row r="302" ht="14.1" customHeight="1" x14ac:dyDescent="0.25"/>
    <row r="303" ht="14.1" customHeight="1" x14ac:dyDescent="0.25"/>
    <row r="304" ht="14.1" customHeight="1" x14ac:dyDescent="0.25"/>
    <row r="305" ht="14.1" customHeight="1" x14ac:dyDescent="0.25"/>
    <row r="306" ht="14.1" customHeight="1" x14ac:dyDescent="0.25"/>
    <row r="307" ht="14.1" customHeight="1" x14ac:dyDescent="0.25"/>
    <row r="308" ht="14.1" customHeight="1" x14ac:dyDescent="0.25"/>
  </sheetData>
  <sheetProtection algorithmName="SHA-512" hashValue="E8qs1feo5fNMVbi9URwsOgF1tztzVT1Yo4wM12IljEHF8ynLB/Jv/90RNFz8UDO965YdmexELBoD5h8WBilXxA==" saltValue="pzs4dFM96FegyYlZ35MgvQ==" spinCount="100000" sheet="1" objects="1" scenarios="1"/>
  <mergeCells count="19">
    <mergeCell ref="B2:H2"/>
    <mergeCell ref="G20:H20"/>
    <mergeCell ref="G3:H4"/>
    <mergeCell ref="G5:H5"/>
    <mergeCell ref="G6:H6"/>
    <mergeCell ref="G7:H7"/>
    <mergeCell ref="G8:H8"/>
    <mergeCell ref="B3:B4"/>
    <mergeCell ref="C3:F4"/>
    <mergeCell ref="G42:H42"/>
    <mergeCell ref="C5:F5"/>
    <mergeCell ref="C7:F7"/>
    <mergeCell ref="G30:H30"/>
    <mergeCell ref="C8:F8"/>
    <mergeCell ref="G12:H12"/>
    <mergeCell ref="C6:F6"/>
    <mergeCell ref="B12:E12"/>
    <mergeCell ref="B20:E20"/>
    <mergeCell ref="B30:E30"/>
  </mergeCells>
  <conditionalFormatting sqref="H14">
    <cfRule type="cellIs" dxfId="812" priority="43" operator="lessThan">
      <formula>0</formula>
    </cfRule>
    <cfRule type="cellIs" dxfId="811" priority="46" operator="greaterThan">
      <formula>0</formula>
    </cfRule>
  </conditionalFormatting>
  <conditionalFormatting sqref="H13">
    <cfRule type="cellIs" dxfId="810" priority="44" operator="greaterThan">
      <formula>0</formula>
    </cfRule>
    <cfRule type="cellIs" dxfId="809" priority="45" operator="lessThan">
      <formula>0</formula>
    </cfRule>
  </conditionalFormatting>
  <conditionalFormatting sqref="H32 H43:H44 H35">
    <cfRule type="cellIs" dxfId="808" priority="41" operator="lessThan">
      <formula>0</formula>
    </cfRule>
    <cfRule type="cellIs" dxfId="807" priority="42" operator="greaterThan">
      <formula>0</formula>
    </cfRule>
  </conditionalFormatting>
  <conditionalFormatting sqref="G5:G8">
    <cfRule type="containsText" dxfId="806" priority="47" operator="containsText" text="Yes">
      <formula>NOT(ISERROR(SEARCH("Yes",G5)))</formula>
    </cfRule>
    <cfRule type="containsText" dxfId="805" priority="48" operator="containsText" text="No">
      <formula>NOT(ISERROR(SEARCH("No",G5)))</formula>
    </cfRule>
  </conditionalFormatting>
  <conditionalFormatting sqref="H33">
    <cfRule type="cellIs" dxfId="804" priority="7" operator="greaterThan">
      <formula>0</formula>
    </cfRule>
    <cfRule type="cellIs" dxfId="803" priority="40" operator="lessThan">
      <formula>0</formula>
    </cfRule>
  </conditionalFormatting>
  <conditionalFormatting sqref="G25 G36:G37">
    <cfRule type="expression" dxfId="802" priority="36">
      <formula>$G25&gt;0</formula>
    </cfRule>
    <cfRule type="expression" dxfId="801" priority="37">
      <formula>$G25&lt;0</formula>
    </cfRule>
  </conditionalFormatting>
  <conditionalFormatting sqref="H22">
    <cfRule type="cellIs" dxfId="800" priority="16" operator="greaterThan">
      <formula>0</formula>
    </cfRule>
    <cfRule type="cellIs" dxfId="799" priority="19" operator="lessThan">
      <formula>0</formula>
    </cfRule>
  </conditionalFormatting>
  <conditionalFormatting sqref="H21">
    <cfRule type="cellIs" dxfId="798" priority="17" operator="greaterThan">
      <formula>0</formula>
    </cfRule>
    <cfRule type="cellIs" dxfId="797" priority="18" operator="lessThan">
      <formula>0</formula>
    </cfRule>
  </conditionalFormatting>
  <conditionalFormatting sqref="B14 B22:E25 B44:E47 B37:E37 B32:E35 C36:E36">
    <cfRule type="expression" dxfId="796" priority="368">
      <formula>$E14&gt;0</formula>
    </cfRule>
    <cfRule type="expression" dxfId="795" priority="369">
      <formula>$E14&lt;0</formula>
    </cfRule>
  </conditionalFormatting>
  <conditionalFormatting sqref="C14:E14">
    <cfRule type="expression" dxfId="794" priority="370">
      <formula>$E14&gt;0</formula>
    </cfRule>
    <cfRule type="expression" dxfId="793" priority="371">
      <formula>$E14&lt;0</formula>
    </cfRule>
  </conditionalFormatting>
  <conditionalFormatting sqref="B36">
    <cfRule type="expression" dxfId="792" priority="8">
      <formula>$E36&gt;0</formula>
    </cfRule>
    <cfRule type="expression" dxfId="791" priority="9">
      <formula>$E36&lt;0</formula>
    </cfRule>
  </conditionalFormatting>
  <conditionalFormatting sqref="H31">
    <cfRule type="cellIs" dxfId="790" priority="5" operator="lessThan">
      <formula>0</formula>
    </cfRule>
    <cfRule type="cellIs" dxfId="789" priority="6" operator="greaterThan">
      <formula>0</formula>
    </cfRule>
  </conditionalFormatting>
  <conditionalFormatting sqref="H23">
    <cfRule type="cellIs" dxfId="788" priority="3" operator="greaterThan">
      <formula>0</formula>
    </cfRule>
    <cfRule type="cellIs" dxfId="787" priority="2" operator="lessThan">
      <formula>0</formula>
    </cfRule>
  </conditionalFormatting>
  <conditionalFormatting sqref="I22">
    <cfRule type="cellIs" dxfId="786" priority="1" operator="equal">
      <formula>"Trading Rules Not Satisfied"</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76F3-0C63-411C-828C-132F2A45A8F5}">
  <sheetPr codeName="Sheet24">
    <tabColor rgb="FFF4D4D4"/>
  </sheetPr>
  <dimension ref="A1:V306"/>
  <sheetViews>
    <sheetView showGridLines="0" showRowColHeaders="0" zoomScale="80" zoomScaleNormal="80" workbookViewId="0"/>
  </sheetViews>
  <sheetFormatPr defaultColWidth="0" defaultRowHeight="14.1" customHeight="1" zeroHeight="1" x14ac:dyDescent="0.25"/>
  <cols>
    <col min="1" max="1" width="17" style="30" customWidth="1"/>
    <col min="2" max="2" width="104.77734375" style="30" bestFit="1" customWidth="1"/>
    <col min="3" max="3" width="24.44140625" style="30" bestFit="1" customWidth="1"/>
    <col min="4" max="4" width="10.5546875" style="30" bestFit="1" customWidth="1"/>
    <col min="5" max="5" width="10.21875" style="30" bestFit="1" customWidth="1"/>
    <col min="6" max="6" width="18.21875" style="30" customWidth="1"/>
    <col min="7" max="7" width="31" style="30" customWidth="1"/>
    <col min="8" max="8" width="15" style="30" customWidth="1"/>
    <col min="9" max="9" width="49.44140625" style="30" customWidth="1"/>
    <col min="10" max="10" width="10.77734375" style="30" customWidth="1"/>
    <col min="11" max="11" width="2" style="30" customWidth="1"/>
    <col min="12" max="12" width="2.5546875" style="30" customWidth="1"/>
    <col min="13" max="13" width="4.21875" style="30" customWidth="1"/>
    <col min="14" max="16" width="9.21875" style="30" customWidth="1"/>
    <col min="17" max="17" width="10.5546875" style="30" customWidth="1"/>
    <col min="18" max="20" width="9.21875" style="30" customWidth="1"/>
    <col min="21" max="22" width="0" style="30" hidden="1" customWidth="1"/>
    <col min="23" max="16384" width="9.21875" style="30" hidden="1"/>
  </cols>
  <sheetData>
    <row r="1" spans="1:17" ht="15" thickBot="1" x14ac:dyDescent="0.3">
      <c r="A1" s="333"/>
      <c r="B1" s="32"/>
      <c r="C1" s="32"/>
      <c r="D1" s="32"/>
      <c r="E1" s="32"/>
      <c r="G1" s="32"/>
      <c r="H1" s="32"/>
      <c r="I1" s="32"/>
      <c r="J1" s="32"/>
      <c r="K1" s="32"/>
      <c r="L1" s="32"/>
      <c r="M1" s="32"/>
      <c r="N1" s="32"/>
      <c r="O1" s="32"/>
      <c r="P1" s="32"/>
      <c r="Q1" s="32"/>
    </row>
    <row r="2" spans="1:17" ht="25.8" thickBot="1" x14ac:dyDescent="0.3">
      <c r="A2" s="32"/>
      <c r="B2" s="1302" t="s">
        <v>207</v>
      </c>
      <c r="C2" s="1303"/>
      <c r="D2" s="1303"/>
      <c r="E2" s="1303"/>
      <c r="F2" s="1303"/>
      <c r="G2" s="1303"/>
      <c r="H2" s="1304"/>
      <c r="I2" s="32"/>
      <c r="J2" s="32"/>
      <c r="K2" s="32"/>
      <c r="L2" s="32"/>
      <c r="M2" s="32"/>
      <c r="N2" s="32"/>
      <c r="O2" s="32"/>
      <c r="P2" s="32"/>
      <c r="Q2" s="32"/>
    </row>
    <row r="3" spans="1:17" ht="15" customHeight="1" x14ac:dyDescent="0.25">
      <c r="A3" s="32"/>
      <c r="B3" s="1310" t="s">
        <v>208</v>
      </c>
      <c r="C3" s="1312" t="s">
        <v>209</v>
      </c>
      <c r="D3" s="1312"/>
      <c r="E3" s="1312"/>
      <c r="F3" s="1312"/>
      <c r="G3" s="1312" t="s">
        <v>210</v>
      </c>
      <c r="H3" s="1308"/>
      <c r="I3" s="219"/>
      <c r="J3" s="219"/>
      <c r="K3" s="219"/>
      <c r="L3" s="32"/>
      <c r="M3" s="32"/>
      <c r="N3" s="32"/>
      <c r="O3" s="32"/>
      <c r="P3" s="32"/>
      <c r="Q3" s="32"/>
    </row>
    <row r="4" spans="1:17" ht="14.25" customHeight="1" x14ac:dyDescent="0.25">
      <c r="A4" s="32"/>
      <c r="B4" s="1311"/>
      <c r="C4" s="1313"/>
      <c r="D4" s="1313"/>
      <c r="E4" s="1313"/>
      <c r="F4" s="1313"/>
      <c r="G4" s="1313"/>
      <c r="H4" s="1309"/>
      <c r="I4" s="219"/>
      <c r="J4" s="219"/>
      <c r="K4" s="219"/>
      <c r="L4" s="32"/>
      <c r="M4" s="32"/>
      <c r="N4" s="32"/>
      <c r="O4" s="32"/>
      <c r="P4" s="32"/>
      <c r="Q4" s="32"/>
    </row>
    <row r="5" spans="1:17" ht="20.399999999999999" x14ac:dyDescent="0.25">
      <c r="A5" s="32"/>
      <c r="B5" s="99" t="s">
        <v>211</v>
      </c>
      <c r="C5" s="1351" t="s">
        <v>212</v>
      </c>
      <c r="D5" s="1351"/>
      <c r="E5" s="1351"/>
      <c r="F5" s="1351"/>
      <c r="G5" s="1349" t="str">
        <f>IFERROR(IF(E14&lt;0,"No ▲","Yes ✓"),"")</f>
        <v>Yes ✓</v>
      </c>
      <c r="H5" s="1350"/>
      <c r="I5" s="219"/>
      <c r="J5" s="219"/>
      <c r="K5" s="219"/>
      <c r="L5" s="32"/>
      <c r="M5" s="32"/>
      <c r="N5" s="32"/>
      <c r="O5" s="32"/>
      <c r="P5" s="32"/>
      <c r="Q5" s="32"/>
    </row>
    <row r="6" spans="1:17" ht="22.5" customHeight="1" x14ac:dyDescent="0.25">
      <c r="A6" s="32"/>
      <c r="B6" s="99" t="s">
        <v>213</v>
      </c>
      <c r="C6" s="1352" t="s">
        <v>240</v>
      </c>
      <c r="D6" s="1352"/>
      <c r="E6" s="1352"/>
      <c r="F6" s="1352"/>
      <c r="G6" s="1349" t="str">
        <f>IF(H22&lt;0, "No ▲","Yes ✓")</f>
        <v>Yes ✓</v>
      </c>
      <c r="H6" s="1350"/>
      <c r="I6" s="32"/>
      <c r="J6" s="32"/>
      <c r="K6" s="32"/>
      <c r="L6" s="32"/>
      <c r="M6" s="32"/>
      <c r="N6" s="32"/>
      <c r="O6" s="32"/>
      <c r="P6" s="32"/>
      <c r="Q6" s="32"/>
    </row>
    <row r="7" spans="1:17" ht="19.5" customHeight="1" x14ac:dyDescent="0.25">
      <c r="A7" s="32"/>
      <c r="B7" s="99" t="s">
        <v>70</v>
      </c>
      <c r="C7" s="1352" t="s">
        <v>240</v>
      </c>
      <c r="D7" s="1352"/>
      <c r="E7" s="1352"/>
      <c r="F7" s="1352"/>
      <c r="G7" s="1342" t="str">
        <f>IF(H30&lt;0, "No ▲","Yes ✓")</f>
        <v>Yes ✓</v>
      </c>
      <c r="H7" s="1343"/>
      <c r="I7" s="32"/>
      <c r="J7" s="32"/>
      <c r="K7" s="32"/>
      <c r="L7" s="32"/>
      <c r="M7" s="32"/>
      <c r="N7" s="32"/>
      <c r="O7" s="32"/>
      <c r="P7" s="32"/>
      <c r="Q7" s="32"/>
    </row>
    <row r="8" spans="1:17" ht="18.75" customHeight="1" thickBot="1" x14ac:dyDescent="0.3">
      <c r="A8" s="32"/>
      <c r="B8" s="74" t="s">
        <v>216</v>
      </c>
      <c r="C8" s="1353" t="s">
        <v>247</v>
      </c>
      <c r="D8" s="1353"/>
      <c r="E8" s="1353"/>
      <c r="F8" s="1353"/>
      <c r="G8" s="1344" t="str">
        <f>IF(H42&lt;0,"No ▲","Yes ✓")</f>
        <v>Yes ✓</v>
      </c>
      <c r="H8" s="1345"/>
      <c r="I8" s="32"/>
      <c r="J8" s="32"/>
      <c r="K8" s="32"/>
      <c r="L8" s="32"/>
      <c r="M8" s="32"/>
      <c r="N8" s="32"/>
      <c r="O8" s="32"/>
      <c r="P8" s="32"/>
      <c r="Q8" s="32"/>
    </row>
    <row r="9" spans="1:17" ht="14.25" customHeight="1" x14ac:dyDescent="0.25">
      <c r="A9" s="32"/>
      <c r="B9" s="32"/>
      <c r="C9" s="32"/>
      <c r="D9" s="32"/>
      <c r="E9" s="32"/>
      <c r="F9" s="32"/>
      <c r="G9" s="32"/>
      <c r="H9" s="32"/>
      <c r="I9" s="32"/>
      <c r="J9" s="32"/>
      <c r="K9" s="32"/>
      <c r="L9" s="32"/>
      <c r="M9" s="32"/>
      <c r="N9" s="32"/>
      <c r="O9" s="32"/>
      <c r="P9" s="32"/>
      <c r="Q9" s="32"/>
    </row>
    <row r="10" spans="1:17" ht="14.4" thickBot="1" x14ac:dyDescent="0.3">
      <c r="A10" s="32"/>
      <c r="B10" s="32"/>
      <c r="C10" s="32"/>
      <c r="D10" s="32"/>
      <c r="E10" s="32"/>
      <c r="F10" s="32"/>
      <c r="G10" s="32"/>
      <c r="H10" s="32"/>
      <c r="I10" s="32"/>
      <c r="J10" s="32"/>
      <c r="K10" s="32"/>
      <c r="L10" s="32"/>
      <c r="M10" s="32"/>
      <c r="N10" s="32"/>
      <c r="O10" s="32"/>
      <c r="P10" s="32"/>
      <c r="Q10" s="32"/>
    </row>
    <row r="11" spans="1:17" ht="48.6" customHeight="1" thickBot="1" x14ac:dyDescent="0.3">
      <c r="A11" s="32"/>
      <c r="B11" s="1302" t="s">
        <v>218</v>
      </c>
      <c r="C11" s="1303"/>
      <c r="D11" s="1303"/>
      <c r="E11" s="1304"/>
      <c r="F11" s="606"/>
      <c r="G11" s="1340" t="s">
        <v>219</v>
      </c>
      <c r="H11" s="1341"/>
      <c r="K11" s="32"/>
      <c r="L11" s="32"/>
      <c r="M11" s="32"/>
      <c r="N11" s="32"/>
      <c r="O11" s="32"/>
      <c r="P11" s="32"/>
      <c r="Q11" s="32"/>
    </row>
    <row r="12" spans="1:17" s="33" customFormat="1" ht="63" thickBot="1" x14ac:dyDescent="0.3">
      <c r="A12" s="32"/>
      <c r="B12" s="70" t="s">
        <v>114</v>
      </c>
      <c r="C12" s="71" t="s">
        <v>221</v>
      </c>
      <c r="D12" s="71" t="s">
        <v>147</v>
      </c>
      <c r="E12" s="72" t="s">
        <v>222</v>
      </c>
      <c r="F12" s="602"/>
      <c r="G12" s="716" t="s">
        <v>224</v>
      </c>
      <c r="H12" s="717">
        <f>SUMIF($E$13:$E$13,"&gt;0")</f>
        <v>0</v>
      </c>
      <c r="K12" s="32"/>
      <c r="L12" s="32"/>
      <c r="M12" s="32"/>
      <c r="N12" s="32"/>
      <c r="O12" s="32"/>
      <c r="P12" s="32"/>
      <c r="Q12" s="32"/>
    </row>
    <row r="13" spans="1:17" ht="27.6" customHeight="1" thickBot="1" x14ac:dyDescent="0.3">
      <c r="A13" s="32"/>
      <c r="B13" s="273" t="str">
        <f>'G-2 Habitat groups'!A172</f>
        <v>Priority habitat</v>
      </c>
      <c r="C13" s="355">
        <f>'G-2 Habitat groups'!R172</f>
        <v>0</v>
      </c>
      <c r="D13" s="355">
        <f>'G-2 Habitat groups'!AD172</f>
        <v>0</v>
      </c>
      <c r="E13" s="599">
        <f>'G-2 Habitat groups'!AF172</f>
        <v>0</v>
      </c>
      <c r="F13" s="604"/>
      <c r="H13" s="32"/>
      <c r="I13" s="1346"/>
      <c r="J13" s="1346"/>
      <c r="K13" s="32"/>
      <c r="L13" s="32"/>
      <c r="M13" s="32"/>
      <c r="N13" s="32"/>
      <c r="O13" s="32"/>
      <c r="P13" s="32"/>
      <c r="Q13" s="32"/>
    </row>
    <row r="14" spans="1:17" ht="14.4" thickBot="1" x14ac:dyDescent="0.3">
      <c r="A14" s="32"/>
      <c r="B14" s="32"/>
      <c r="C14" s="609">
        <f>SUM(C13:C13)</f>
        <v>0</v>
      </c>
      <c r="D14" s="610">
        <f>SUM(D13:D13)</f>
        <v>0</v>
      </c>
      <c r="E14" s="344">
        <f>SUM(E13:E13)</f>
        <v>0</v>
      </c>
      <c r="F14" s="563"/>
      <c r="H14" s="32"/>
      <c r="I14" s="32"/>
      <c r="J14" s="32"/>
      <c r="K14" s="32"/>
      <c r="L14" s="32"/>
      <c r="M14" s="32"/>
      <c r="N14" s="32"/>
      <c r="O14" s="32"/>
      <c r="P14" s="32"/>
      <c r="Q14" s="32"/>
    </row>
    <row r="15" spans="1:17" ht="13.8" x14ac:dyDescent="0.25">
      <c r="A15" s="32"/>
      <c r="B15" s="32"/>
      <c r="C15" s="32"/>
      <c r="D15" s="32"/>
      <c r="E15" s="32"/>
      <c r="F15" s="32"/>
      <c r="G15" s="32"/>
      <c r="H15" s="32"/>
      <c r="I15" s="32"/>
      <c r="J15" s="32"/>
      <c r="K15" s="32"/>
      <c r="L15" s="32"/>
      <c r="M15" s="32"/>
      <c r="N15" s="32"/>
      <c r="O15" s="32"/>
      <c r="P15" s="32"/>
      <c r="Q15" s="32"/>
    </row>
    <row r="16" spans="1:17" ht="13.8" x14ac:dyDescent="0.25">
      <c r="A16" s="32"/>
      <c r="B16" s="32"/>
      <c r="C16" s="32"/>
      <c r="D16" s="32"/>
      <c r="E16" s="32"/>
      <c r="F16" s="32"/>
      <c r="G16" s="32"/>
      <c r="H16" s="32"/>
      <c r="I16" s="32"/>
      <c r="J16" s="32"/>
      <c r="K16" s="32"/>
      <c r="L16" s="32"/>
      <c r="M16" s="32"/>
      <c r="N16" s="32"/>
      <c r="O16" s="32"/>
      <c r="P16" s="32"/>
      <c r="Q16" s="32"/>
    </row>
    <row r="17" spans="1:17" ht="13.8" x14ac:dyDescent="0.25">
      <c r="A17" s="32"/>
      <c r="B17" s="32"/>
      <c r="C17" s="32"/>
      <c r="D17" s="32"/>
      <c r="E17" s="32"/>
      <c r="F17" s="32"/>
      <c r="G17" s="32"/>
      <c r="H17" s="32"/>
      <c r="I17" s="32"/>
      <c r="J17" s="32"/>
      <c r="K17" s="32"/>
      <c r="L17" s="32"/>
      <c r="M17" s="32"/>
      <c r="N17" s="32"/>
      <c r="O17" s="32"/>
      <c r="P17" s="32"/>
      <c r="Q17" s="32"/>
    </row>
    <row r="18" spans="1:17" ht="13.8" x14ac:dyDescent="0.25">
      <c r="A18" s="32"/>
      <c r="B18" s="32"/>
      <c r="C18" s="32"/>
      <c r="D18" s="32"/>
      <c r="E18" s="32"/>
      <c r="F18" s="32"/>
      <c r="G18" s="32"/>
      <c r="H18" s="32"/>
      <c r="I18" s="32"/>
      <c r="J18" s="32"/>
      <c r="K18" s="32"/>
      <c r="L18" s="32"/>
      <c r="M18" s="32"/>
      <c r="N18" s="32"/>
      <c r="O18" s="32"/>
      <c r="P18" s="32"/>
      <c r="Q18" s="32"/>
    </row>
    <row r="19" spans="1:17" ht="14.4" thickBot="1" x14ac:dyDescent="0.3">
      <c r="A19" s="32"/>
      <c r="B19" s="32"/>
      <c r="C19" s="32"/>
      <c r="D19" s="32"/>
      <c r="E19" s="32"/>
      <c r="F19" s="32"/>
      <c r="G19" s="32"/>
      <c r="H19" s="32"/>
      <c r="I19" s="32"/>
      <c r="J19" s="32"/>
      <c r="K19" s="32"/>
      <c r="L19" s="32"/>
      <c r="M19" s="32"/>
      <c r="N19" s="32"/>
      <c r="O19" s="32"/>
      <c r="P19" s="32"/>
      <c r="Q19" s="32"/>
    </row>
    <row r="20" spans="1:17" ht="45.6" customHeight="1" thickBot="1" x14ac:dyDescent="0.3">
      <c r="A20" s="32"/>
      <c r="B20" s="1302" t="s">
        <v>225</v>
      </c>
      <c r="C20" s="1303"/>
      <c r="D20" s="1303"/>
      <c r="E20" s="1304"/>
      <c r="F20" s="606"/>
      <c r="G20" s="1319" t="s">
        <v>226</v>
      </c>
      <c r="H20" s="1320"/>
      <c r="K20" s="32"/>
      <c r="L20" s="32"/>
      <c r="M20" s="32"/>
    </row>
    <row r="21" spans="1:17" ht="62.4" x14ac:dyDescent="0.25">
      <c r="A21" s="32"/>
      <c r="B21" s="70" t="s">
        <v>114</v>
      </c>
      <c r="C21" s="71" t="s">
        <v>221</v>
      </c>
      <c r="D21" s="71" t="s">
        <v>147</v>
      </c>
      <c r="E21" s="72" t="s">
        <v>222</v>
      </c>
      <c r="G21" s="73" t="s">
        <v>228</v>
      </c>
      <c r="H21" s="350">
        <f>IF(E23&gt;0, E23, 0)</f>
        <v>0</v>
      </c>
      <c r="K21" s="32"/>
      <c r="L21" s="32"/>
      <c r="M21" s="32"/>
      <c r="N21" s="32"/>
      <c r="O21" s="32"/>
    </row>
    <row r="22" spans="1:17" ht="28.2" thickBot="1" x14ac:dyDescent="0.3">
      <c r="A22" s="32"/>
      <c r="B22" s="273" t="str">
        <f>'G-2 Habitat groups'!A173</f>
        <v>Other rivers and streams</v>
      </c>
      <c r="C22" s="355">
        <f>'G-2 Habitat groups'!R173</f>
        <v>0</v>
      </c>
      <c r="D22" s="355">
        <f>'G-2 Habitat groups'!AD173</f>
        <v>0</v>
      </c>
      <c r="E22" s="599">
        <f>'G-2 Habitat groups'!AF173</f>
        <v>0</v>
      </c>
      <c r="G22" s="74" t="s">
        <v>229</v>
      </c>
      <c r="H22" s="351">
        <f>IF(E23&lt;0, E23, 0)</f>
        <v>0</v>
      </c>
      <c r="K22" s="32"/>
      <c r="L22" s="32"/>
      <c r="M22" s="32"/>
      <c r="N22" s="32"/>
      <c r="O22" s="32"/>
    </row>
    <row r="23" spans="1:17" ht="14.4" thickBot="1" x14ac:dyDescent="0.3">
      <c r="A23" s="32"/>
      <c r="C23" s="609">
        <f>SUM(C22:C22)</f>
        <v>0</v>
      </c>
      <c r="D23" s="610">
        <f>SUM(D22:D22)</f>
        <v>0</v>
      </c>
      <c r="E23" s="344">
        <f>SUM(E22:E22)</f>
        <v>0</v>
      </c>
      <c r="G23" s="563"/>
      <c r="H23" s="32"/>
      <c r="I23" s="32"/>
      <c r="J23" s="32"/>
      <c r="K23" s="32"/>
      <c r="L23" s="32"/>
      <c r="M23" s="32"/>
      <c r="N23" s="32"/>
      <c r="O23" s="32"/>
      <c r="P23" s="32"/>
      <c r="Q23" s="32"/>
    </row>
    <row r="24" spans="1:17" ht="13.8" x14ac:dyDescent="0.25">
      <c r="A24" s="32"/>
      <c r="B24" s="32"/>
      <c r="C24" s="32"/>
      <c r="D24" s="32"/>
      <c r="E24" s="32"/>
      <c r="F24" s="32"/>
      <c r="G24" s="32"/>
      <c r="H24" s="32"/>
      <c r="I24" s="32"/>
      <c r="J24" s="32"/>
      <c r="K24" s="32"/>
      <c r="L24" s="32"/>
      <c r="M24" s="32"/>
      <c r="N24" s="32"/>
      <c r="O24" s="32"/>
      <c r="P24" s="32"/>
      <c r="Q24" s="32"/>
    </row>
    <row r="25" spans="1:17" ht="13.8" x14ac:dyDescent="0.25">
      <c r="A25" s="32"/>
      <c r="B25" s="32"/>
      <c r="C25" s="32"/>
      <c r="D25" s="32"/>
      <c r="E25" s="32"/>
      <c r="F25" s="32"/>
      <c r="G25" s="32"/>
      <c r="H25" s="32"/>
      <c r="I25" s="32"/>
      <c r="J25" s="32"/>
      <c r="K25" s="32"/>
      <c r="L25" s="32"/>
      <c r="M25" s="32"/>
      <c r="N25" s="32"/>
      <c r="O25" s="32"/>
      <c r="P25" s="32"/>
      <c r="Q25" s="32"/>
    </row>
    <row r="26" spans="1:17" ht="13.8" x14ac:dyDescent="0.25">
      <c r="A26" s="32"/>
      <c r="B26" s="32"/>
      <c r="C26" s="32"/>
      <c r="D26" s="32"/>
      <c r="E26" s="32"/>
      <c r="F26" s="32"/>
      <c r="G26" s="32"/>
      <c r="H26" s="32"/>
      <c r="I26" s="32"/>
      <c r="J26" s="32"/>
      <c r="K26" s="32"/>
      <c r="L26" s="32"/>
      <c r="M26" s="32"/>
      <c r="N26" s="32"/>
      <c r="O26" s="32"/>
      <c r="P26" s="32"/>
      <c r="Q26" s="32"/>
    </row>
    <row r="27" spans="1:17" ht="14.4" thickBot="1" x14ac:dyDescent="0.3">
      <c r="A27" s="32"/>
      <c r="B27" s="32"/>
      <c r="C27" s="32"/>
      <c r="D27" s="32"/>
      <c r="E27" s="32"/>
      <c r="F27" s="32"/>
      <c r="G27" s="32"/>
      <c r="H27" s="32"/>
      <c r="I27" s="32"/>
      <c r="J27" s="32"/>
      <c r="K27" s="32"/>
      <c r="L27" s="32"/>
      <c r="M27" s="32"/>
      <c r="N27" s="32"/>
      <c r="O27" s="32"/>
      <c r="P27" s="32"/>
      <c r="Q27" s="32"/>
    </row>
    <row r="28" spans="1:17" ht="46.05" customHeight="1" thickBot="1" x14ac:dyDescent="0.45">
      <c r="A28" s="32"/>
      <c r="B28" s="1334" t="s">
        <v>231</v>
      </c>
      <c r="C28" s="1335"/>
      <c r="D28" s="1335"/>
      <c r="E28" s="1336"/>
      <c r="F28" s="603"/>
      <c r="G28" s="1347" t="s">
        <v>232</v>
      </c>
      <c r="H28" s="1348"/>
      <c r="K28" s="32"/>
      <c r="L28" s="32"/>
      <c r="M28" s="32"/>
      <c r="N28" s="32"/>
      <c r="O28" s="32"/>
    </row>
    <row r="29" spans="1:17" ht="62.4" x14ac:dyDescent="0.25">
      <c r="A29" s="32"/>
      <c r="B29" s="70" t="s">
        <v>114</v>
      </c>
      <c r="C29" s="71" t="s">
        <v>120</v>
      </c>
      <c r="D29" s="71" t="s">
        <v>147</v>
      </c>
      <c r="E29" s="72" t="s">
        <v>233</v>
      </c>
      <c r="F29" s="35"/>
      <c r="G29" s="73" t="s">
        <v>248</v>
      </c>
      <c r="H29" s="352">
        <f>SUMIF(E30:E31, "&gt;0")</f>
        <v>0</v>
      </c>
      <c r="K29" s="32"/>
      <c r="L29" s="32"/>
    </row>
    <row r="30" spans="1:17" ht="27.6" x14ac:dyDescent="0.25">
      <c r="A30" s="32"/>
      <c r="B30" s="271" t="str">
        <f>'G-2 Habitat groups'!A174</f>
        <v>Ditches</v>
      </c>
      <c r="C30" s="346">
        <f>'G-2 Habitat groups'!R174</f>
        <v>0</v>
      </c>
      <c r="D30" s="346">
        <f>'G-2 Habitat groups'!AD174</f>
        <v>0</v>
      </c>
      <c r="E30" s="347">
        <f>'G-2 Habitat groups'!AF174</f>
        <v>0</v>
      </c>
      <c r="F30" s="35"/>
      <c r="G30" s="99" t="s">
        <v>229</v>
      </c>
      <c r="H30" s="353">
        <f>SUMIF(E30:E31, "&lt;0", E30:E31)</f>
        <v>0</v>
      </c>
      <c r="K30" s="32"/>
      <c r="L30" s="32"/>
    </row>
    <row r="31" spans="1:17" ht="14.4" thickBot="1" x14ac:dyDescent="0.3">
      <c r="A31" s="32"/>
      <c r="B31" s="273" t="str">
        <f>'G-2 Habitat groups'!A175</f>
        <v>Canals</v>
      </c>
      <c r="C31" s="355">
        <f>'G-2 Habitat groups'!R175</f>
        <v>0</v>
      </c>
      <c r="D31" s="355">
        <f>'G-2 Habitat groups'!AD175</f>
        <v>0</v>
      </c>
      <c r="E31" s="599">
        <f>'G-2 Habitat groups'!AF175</f>
        <v>0</v>
      </c>
      <c r="F31" s="35"/>
      <c r="H31" s="32"/>
    </row>
    <row r="32" spans="1:17" ht="14.4" thickBot="1" x14ac:dyDescent="0.3">
      <c r="A32" s="32"/>
      <c r="B32" s="36"/>
      <c r="C32" s="410">
        <f>SUM(C30:C31)</f>
        <v>0</v>
      </c>
      <c r="D32" s="612">
        <f>SUM(D30:D31)</f>
        <v>0</v>
      </c>
      <c r="E32" s="377">
        <f>SUM(E30:E31)</f>
        <v>0</v>
      </c>
      <c r="F32" s="35"/>
      <c r="H32" s="32"/>
      <c r="K32" s="32"/>
      <c r="L32" s="32"/>
    </row>
    <row r="33" spans="1:17" ht="14.55" customHeight="1" x14ac:dyDescent="0.25">
      <c r="A33" s="32"/>
      <c r="B33" s="32"/>
      <c r="C33" s="32"/>
      <c r="H33" s="32"/>
      <c r="I33" s="32"/>
      <c r="J33" s="32"/>
      <c r="K33" s="32"/>
      <c r="L33" s="32"/>
      <c r="M33" s="32"/>
      <c r="N33" s="32"/>
      <c r="O33" s="32"/>
    </row>
    <row r="34" spans="1:17" ht="13.8" x14ac:dyDescent="0.25">
      <c r="A34" s="32"/>
      <c r="B34" s="32"/>
      <c r="C34" s="32"/>
      <c r="D34" s="32"/>
      <c r="E34" s="32"/>
      <c r="F34" s="32"/>
      <c r="G34" s="32"/>
      <c r="H34" s="32"/>
      <c r="I34" s="32"/>
      <c r="J34" s="32"/>
      <c r="K34" s="32"/>
      <c r="L34" s="32"/>
      <c r="M34" s="32"/>
      <c r="N34" s="32"/>
      <c r="O34" s="32"/>
      <c r="P34" s="32"/>
      <c r="Q34" s="32"/>
    </row>
    <row r="35" spans="1:17" ht="13.8" x14ac:dyDescent="0.25">
      <c r="A35" s="32"/>
      <c r="B35" s="32"/>
      <c r="C35" s="32"/>
      <c r="D35" s="32"/>
      <c r="E35" s="32"/>
      <c r="F35" s="32"/>
      <c r="G35" s="32"/>
      <c r="H35" s="32"/>
      <c r="I35" s="32"/>
      <c r="J35" s="32"/>
      <c r="K35" s="32"/>
      <c r="L35" s="32"/>
      <c r="M35" s="32"/>
      <c r="N35" s="32"/>
      <c r="O35" s="32"/>
      <c r="P35" s="32"/>
      <c r="Q35" s="32"/>
    </row>
    <row r="36" spans="1:17" ht="13.8" x14ac:dyDescent="0.25">
      <c r="A36" s="32"/>
      <c r="B36" s="32"/>
      <c r="C36" s="32"/>
      <c r="D36" s="32"/>
      <c r="E36" s="32"/>
      <c r="F36" s="32"/>
      <c r="G36" s="32"/>
      <c r="H36" s="32"/>
      <c r="I36" s="32"/>
      <c r="J36" s="32"/>
      <c r="K36" s="32"/>
      <c r="L36" s="32"/>
      <c r="M36" s="32"/>
      <c r="N36" s="32"/>
      <c r="O36" s="32"/>
      <c r="P36" s="32"/>
      <c r="Q36" s="32"/>
    </row>
    <row r="37" spans="1:17" ht="13.8" x14ac:dyDescent="0.25">
      <c r="A37" s="32"/>
      <c r="B37" s="32"/>
      <c r="C37" s="32"/>
      <c r="D37" s="32"/>
      <c r="E37" s="32"/>
      <c r="F37" s="32"/>
      <c r="G37" s="32"/>
      <c r="H37" s="32"/>
      <c r="I37" s="32"/>
      <c r="J37" s="32"/>
      <c r="K37" s="32"/>
      <c r="L37" s="32"/>
      <c r="M37" s="32"/>
      <c r="N37" s="32"/>
      <c r="O37" s="32"/>
      <c r="P37" s="32"/>
      <c r="Q37" s="32"/>
    </row>
    <row r="38" spans="1:17" ht="13.8" x14ac:dyDescent="0.25">
      <c r="A38" s="32"/>
      <c r="B38" s="32"/>
      <c r="C38" s="32"/>
      <c r="D38" s="32"/>
      <c r="E38" s="32"/>
      <c r="F38" s="32"/>
      <c r="G38" s="32"/>
      <c r="H38" s="32"/>
      <c r="I38" s="32"/>
      <c r="J38" s="32"/>
      <c r="K38" s="32"/>
      <c r="L38" s="32"/>
      <c r="M38" s="32"/>
      <c r="N38" s="32"/>
      <c r="O38" s="32"/>
      <c r="P38" s="32"/>
      <c r="Q38" s="32"/>
    </row>
    <row r="39" spans="1:17" ht="14.4" thickBot="1" x14ac:dyDescent="0.3">
      <c r="A39" s="32"/>
      <c r="B39" s="32"/>
      <c r="C39" s="32"/>
      <c r="D39" s="32"/>
      <c r="E39" s="32"/>
      <c r="F39" s="38"/>
      <c r="G39" s="32"/>
      <c r="H39" s="32"/>
      <c r="I39" s="32"/>
      <c r="J39" s="32"/>
      <c r="K39" s="32"/>
      <c r="L39" s="32"/>
      <c r="M39" s="32"/>
      <c r="N39" s="32"/>
      <c r="O39" s="32"/>
      <c r="P39" s="32"/>
      <c r="Q39" s="32"/>
    </row>
    <row r="40" spans="1:17" ht="45.6" customHeight="1" thickBot="1" x14ac:dyDescent="0.45">
      <c r="A40" s="32"/>
      <c r="B40" s="1302" t="s">
        <v>237</v>
      </c>
      <c r="C40" s="1303"/>
      <c r="D40" s="1303"/>
      <c r="E40" s="1304"/>
      <c r="F40" s="606"/>
      <c r="G40" s="1347" t="s">
        <v>238</v>
      </c>
      <c r="H40" s="1348"/>
      <c r="I40" s="32"/>
      <c r="J40" s="32"/>
      <c r="K40" s="32"/>
      <c r="L40" s="32"/>
      <c r="M40" s="32"/>
      <c r="N40" s="32"/>
      <c r="O40" s="32"/>
    </row>
    <row r="41" spans="1:17" ht="62.4" x14ac:dyDescent="0.25">
      <c r="A41" s="32"/>
      <c r="B41" s="70" t="s">
        <v>114</v>
      </c>
      <c r="C41" s="71" t="s">
        <v>221</v>
      </c>
      <c r="D41" s="71" t="s">
        <v>147</v>
      </c>
      <c r="E41" s="72" t="s">
        <v>233</v>
      </c>
      <c r="G41" s="73" t="s">
        <v>239</v>
      </c>
      <c r="H41" s="352">
        <f>E43</f>
        <v>0</v>
      </c>
      <c r="K41" s="32"/>
      <c r="L41" s="32"/>
      <c r="M41" s="32"/>
      <c r="N41" s="32"/>
    </row>
    <row r="42" spans="1:17" ht="14.4" thickBot="1" x14ac:dyDescent="0.3">
      <c r="A42" s="32"/>
      <c r="B42" s="211" t="str">
        <f>'G-2 Habitat groups'!A176</f>
        <v>Culvert</v>
      </c>
      <c r="C42" s="355">
        <f>'G-2 Habitat groups'!R176</f>
        <v>0</v>
      </c>
      <c r="D42" s="355">
        <f>'G-2 Habitat groups'!AD176</f>
        <v>0</v>
      </c>
      <c r="E42" s="599">
        <f>'G-2 Habitat groups'!AF176</f>
        <v>0</v>
      </c>
      <c r="G42" s="74" t="s">
        <v>1674</v>
      </c>
      <c r="H42" s="351">
        <f>H41+(H29+H21+H12)</f>
        <v>0</v>
      </c>
      <c r="K42" s="32"/>
      <c r="L42" s="32"/>
      <c r="M42" s="32"/>
      <c r="N42" s="32"/>
    </row>
    <row r="43" spans="1:17" ht="14.4" thickBot="1" x14ac:dyDescent="0.3">
      <c r="A43" s="32"/>
      <c r="B43" s="36"/>
      <c r="C43" s="414">
        <f>SUM(C42:C42)</f>
        <v>0</v>
      </c>
      <c r="D43" s="414">
        <f>D42</f>
        <v>0</v>
      </c>
      <c r="E43" s="414">
        <f>SUM(E42:E42)</f>
        <v>0</v>
      </c>
      <c r="G43" s="32"/>
      <c r="H43" s="32"/>
      <c r="K43" s="32"/>
      <c r="L43" s="32"/>
      <c r="M43" s="32"/>
      <c r="N43" s="32"/>
    </row>
    <row r="44" spans="1:17" ht="13.8" x14ac:dyDescent="0.25">
      <c r="A44" s="32"/>
      <c r="B44" s="32"/>
      <c r="C44" s="32"/>
      <c r="G44" s="32"/>
      <c r="H44" s="32"/>
      <c r="I44" s="32"/>
      <c r="J44" s="32"/>
      <c r="K44" s="32"/>
      <c r="L44" s="32"/>
      <c r="M44" s="32"/>
      <c r="N44" s="32"/>
      <c r="O44" s="32"/>
      <c r="P44" s="32"/>
      <c r="Q44" s="32"/>
    </row>
    <row r="45" spans="1:17" ht="13.8" x14ac:dyDescent="0.25">
      <c r="A45" s="32"/>
      <c r="G45" s="32"/>
      <c r="H45" s="32"/>
      <c r="I45" s="32"/>
      <c r="J45" s="32"/>
      <c r="K45" s="32"/>
      <c r="L45" s="32"/>
      <c r="M45" s="32"/>
      <c r="N45" s="32"/>
      <c r="O45" s="32"/>
      <c r="P45" s="32"/>
      <c r="Q45" s="32"/>
    </row>
    <row r="46" spans="1:17" ht="13.8" hidden="1" x14ac:dyDescent="0.25">
      <c r="A46" s="32"/>
      <c r="B46" s="32"/>
      <c r="C46" s="32"/>
      <c r="D46" s="32"/>
      <c r="E46" s="32"/>
      <c r="F46" s="32"/>
      <c r="G46" s="32"/>
      <c r="H46" s="32"/>
      <c r="I46" s="32"/>
      <c r="J46" s="32"/>
      <c r="K46" s="32"/>
      <c r="L46" s="32"/>
      <c r="M46" s="32"/>
      <c r="N46" s="32"/>
      <c r="O46" s="32"/>
      <c r="P46" s="32"/>
      <c r="Q46" s="32"/>
    </row>
    <row r="47" spans="1:17" ht="13.8" hidden="1" x14ac:dyDescent="0.25">
      <c r="A47" s="32"/>
      <c r="B47" s="32"/>
      <c r="C47" s="32"/>
      <c r="D47" s="32"/>
      <c r="E47" s="32"/>
      <c r="F47" s="32"/>
      <c r="G47" s="32"/>
      <c r="H47" s="32"/>
      <c r="I47" s="32"/>
      <c r="J47" s="32"/>
      <c r="K47" s="32"/>
      <c r="L47" s="32"/>
      <c r="M47" s="32"/>
      <c r="N47" s="32"/>
      <c r="O47" s="32"/>
      <c r="P47" s="32"/>
      <c r="Q47" s="32"/>
    </row>
    <row r="48" spans="1:17" ht="13.8" hidden="1" x14ac:dyDescent="0.25">
      <c r="A48" s="32"/>
      <c r="B48" s="32"/>
      <c r="C48" s="32"/>
      <c r="D48" s="32"/>
      <c r="E48" s="32"/>
      <c r="F48" s="32"/>
      <c r="G48" s="32"/>
      <c r="H48" s="32"/>
      <c r="I48" s="32"/>
      <c r="J48" s="32"/>
      <c r="K48" s="32"/>
      <c r="L48" s="32"/>
      <c r="M48" s="32"/>
      <c r="N48" s="32"/>
      <c r="O48" s="32"/>
      <c r="P48" s="32"/>
      <c r="Q48" s="32"/>
    </row>
    <row r="49" spans="1:17" ht="13.8" hidden="1" x14ac:dyDescent="0.25">
      <c r="A49" s="32"/>
      <c r="B49" s="32"/>
      <c r="C49" s="32"/>
      <c r="D49" s="32"/>
      <c r="E49" s="32"/>
      <c r="F49" s="32"/>
      <c r="G49" s="32"/>
      <c r="H49" s="32"/>
      <c r="I49" s="32"/>
      <c r="J49" s="32"/>
      <c r="K49" s="32"/>
      <c r="L49" s="32"/>
      <c r="M49" s="32"/>
      <c r="N49" s="32"/>
      <c r="O49" s="32"/>
      <c r="P49" s="32"/>
      <c r="Q49" s="32"/>
    </row>
    <row r="50" spans="1:17" ht="13.8" hidden="1" x14ac:dyDescent="0.25">
      <c r="A50" s="32"/>
      <c r="B50" s="32"/>
      <c r="C50" s="32"/>
      <c r="D50" s="32"/>
      <c r="E50" s="32"/>
      <c r="F50" s="32"/>
      <c r="G50" s="32"/>
      <c r="H50" s="32"/>
      <c r="I50" s="32"/>
      <c r="J50" s="32"/>
      <c r="K50" s="32"/>
      <c r="L50" s="32"/>
      <c r="M50" s="32"/>
      <c r="N50" s="32"/>
      <c r="O50" s="32"/>
      <c r="P50" s="32"/>
      <c r="Q50" s="32"/>
    </row>
    <row r="51" spans="1:17" ht="13.8" hidden="1" x14ac:dyDescent="0.25">
      <c r="A51" s="32"/>
      <c r="B51" s="32"/>
      <c r="C51" s="32"/>
      <c r="D51" s="32"/>
      <c r="E51" s="32"/>
      <c r="F51" s="32"/>
      <c r="G51" s="32"/>
      <c r="H51" s="32"/>
      <c r="I51" s="32"/>
      <c r="J51" s="32"/>
      <c r="K51" s="32"/>
      <c r="L51" s="32"/>
      <c r="M51" s="32"/>
      <c r="N51" s="32"/>
      <c r="O51" s="32"/>
      <c r="P51" s="32"/>
      <c r="Q51" s="32"/>
    </row>
    <row r="52" spans="1:17" ht="13.8" hidden="1" x14ac:dyDescent="0.25">
      <c r="A52" s="32"/>
      <c r="B52" s="32"/>
      <c r="C52" s="32"/>
      <c r="D52" s="32"/>
      <c r="E52" s="32"/>
      <c r="F52" s="32"/>
      <c r="G52" s="32"/>
      <c r="H52" s="32"/>
      <c r="I52" s="32"/>
      <c r="J52" s="32"/>
      <c r="K52" s="32"/>
      <c r="L52" s="32"/>
      <c r="M52" s="32"/>
      <c r="N52" s="32"/>
      <c r="O52" s="32"/>
      <c r="P52" s="32"/>
      <c r="Q52" s="32"/>
    </row>
    <row r="53" spans="1:17" ht="13.8" hidden="1" x14ac:dyDescent="0.25">
      <c r="A53" s="32"/>
      <c r="B53" s="32"/>
      <c r="C53" s="32"/>
      <c r="D53" s="32"/>
      <c r="E53" s="32"/>
      <c r="F53" s="32"/>
      <c r="G53" s="32"/>
      <c r="H53" s="32"/>
      <c r="I53" s="32"/>
      <c r="J53" s="32"/>
      <c r="K53" s="32"/>
      <c r="L53" s="32"/>
      <c r="M53" s="32"/>
      <c r="N53" s="32"/>
      <c r="O53" s="32"/>
      <c r="P53" s="32"/>
      <c r="Q53" s="32"/>
    </row>
    <row r="54" spans="1:17" ht="13.8" hidden="1" x14ac:dyDescent="0.25">
      <c r="A54" s="32"/>
      <c r="B54" s="32"/>
      <c r="C54" s="32"/>
      <c r="D54" s="32"/>
      <c r="E54" s="32"/>
      <c r="F54" s="32"/>
      <c r="G54" s="32"/>
      <c r="H54" s="32"/>
      <c r="I54" s="32"/>
      <c r="J54" s="32"/>
      <c r="K54" s="32"/>
      <c r="L54" s="32"/>
      <c r="M54" s="32"/>
      <c r="N54" s="32"/>
      <c r="O54" s="32"/>
      <c r="P54" s="32"/>
      <c r="Q54" s="32"/>
    </row>
    <row r="55" spans="1:17" ht="13.8" hidden="1" x14ac:dyDescent="0.25">
      <c r="A55" s="32"/>
      <c r="B55" s="32"/>
      <c r="C55" s="32"/>
      <c r="D55" s="32"/>
      <c r="E55" s="32"/>
      <c r="F55" s="32"/>
      <c r="G55" s="32"/>
      <c r="H55" s="32"/>
      <c r="I55" s="32"/>
      <c r="J55" s="32"/>
      <c r="K55" s="32"/>
      <c r="L55" s="32"/>
      <c r="M55" s="32"/>
      <c r="N55" s="32"/>
      <c r="O55" s="32"/>
      <c r="P55" s="32"/>
      <c r="Q55" s="32"/>
    </row>
    <row r="56" spans="1:17" ht="13.8" hidden="1" x14ac:dyDescent="0.25">
      <c r="A56" s="32"/>
      <c r="B56" s="32"/>
      <c r="C56" s="32"/>
      <c r="D56" s="32"/>
      <c r="E56" s="32"/>
      <c r="F56" s="32"/>
      <c r="G56" s="32"/>
      <c r="H56" s="32"/>
      <c r="I56" s="32"/>
      <c r="J56" s="32"/>
      <c r="K56" s="32"/>
      <c r="L56" s="32"/>
      <c r="M56" s="32"/>
      <c r="N56" s="32"/>
      <c r="O56" s="32"/>
      <c r="P56" s="32"/>
      <c r="Q56" s="32"/>
    </row>
    <row r="57" spans="1:17" ht="13.8" hidden="1" x14ac:dyDescent="0.25">
      <c r="A57" s="32"/>
      <c r="B57" s="32"/>
      <c r="C57" s="32"/>
      <c r="D57" s="32"/>
      <c r="E57" s="32"/>
      <c r="F57" s="32"/>
      <c r="G57" s="32"/>
      <c r="H57" s="32"/>
      <c r="I57" s="32"/>
      <c r="J57" s="32"/>
      <c r="K57" s="32"/>
      <c r="L57" s="32"/>
      <c r="M57" s="32"/>
      <c r="N57" s="32"/>
      <c r="O57" s="32"/>
      <c r="P57" s="32"/>
      <c r="Q57" s="32"/>
    </row>
    <row r="58" spans="1:17" ht="13.8" hidden="1" x14ac:dyDescent="0.25">
      <c r="A58" s="32"/>
      <c r="B58" s="32"/>
      <c r="C58" s="32"/>
      <c r="D58" s="32"/>
      <c r="E58" s="32"/>
      <c r="F58" s="32"/>
      <c r="G58" s="32"/>
      <c r="H58" s="32"/>
      <c r="I58" s="32"/>
      <c r="J58" s="32"/>
      <c r="K58" s="32"/>
      <c r="L58" s="32"/>
      <c r="M58" s="32"/>
      <c r="N58" s="32"/>
      <c r="O58" s="32"/>
      <c r="P58" s="32"/>
      <c r="Q58" s="32"/>
    </row>
    <row r="59" spans="1:17" ht="13.8" hidden="1" x14ac:dyDescent="0.25">
      <c r="A59" s="32"/>
      <c r="B59" s="32"/>
      <c r="C59" s="32"/>
      <c r="D59" s="32"/>
      <c r="E59" s="32"/>
      <c r="F59" s="32"/>
      <c r="G59" s="32"/>
      <c r="H59" s="32"/>
      <c r="I59" s="32"/>
      <c r="J59" s="32"/>
      <c r="K59" s="32"/>
      <c r="L59" s="32"/>
      <c r="M59" s="32"/>
      <c r="N59" s="32"/>
      <c r="O59" s="32"/>
      <c r="P59" s="32"/>
      <c r="Q59" s="32"/>
    </row>
    <row r="60" spans="1:17" ht="13.8" hidden="1" x14ac:dyDescent="0.25">
      <c r="A60" s="32"/>
      <c r="B60" s="32"/>
      <c r="C60" s="32"/>
      <c r="D60" s="32"/>
      <c r="E60" s="32"/>
      <c r="F60" s="32"/>
      <c r="G60" s="32"/>
      <c r="H60" s="32"/>
      <c r="I60" s="32"/>
      <c r="J60" s="32"/>
      <c r="K60" s="32"/>
      <c r="L60" s="32"/>
      <c r="M60" s="32"/>
      <c r="N60" s="32"/>
      <c r="O60" s="32"/>
      <c r="P60" s="32"/>
      <c r="Q60" s="32"/>
    </row>
    <row r="61" spans="1:17" ht="13.8" hidden="1" x14ac:dyDescent="0.25">
      <c r="A61" s="32"/>
      <c r="B61" s="32"/>
      <c r="C61" s="32"/>
      <c r="D61" s="32"/>
      <c r="E61" s="32"/>
      <c r="F61" s="32"/>
      <c r="G61" s="32"/>
      <c r="H61" s="32"/>
      <c r="I61" s="32"/>
      <c r="J61" s="32"/>
      <c r="K61" s="32"/>
      <c r="L61" s="32"/>
      <c r="M61" s="32"/>
      <c r="N61" s="32"/>
      <c r="O61" s="32"/>
      <c r="P61" s="32"/>
      <c r="Q61" s="32"/>
    </row>
    <row r="62" spans="1:17" ht="13.8" hidden="1" x14ac:dyDescent="0.25">
      <c r="A62" s="32"/>
      <c r="B62" s="32"/>
      <c r="C62" s="32"/>
      <c r="D62" s="32"/>
      <c r="E62" s="32"/>
      <c r="F62" s="32"/>
      <c r="G62" s="32"/>
      <c r="H62" s="32"/>
      <c r="I62" s="32"/>
      <c r="J62" s="32"/>
      <c r="K62" s="32"/>
      <c r="L62" s="32"/>
      <c r="M62" s="32"/>
      <c r="N62" s="32"/>
      <c r="O62" s="32"/>
      <c r="P62" s="32"/>
      <c r="Q62" s="32"/>
    </row>
    <row r="63" spans="1:17" ht="13.8" hidden="1" x14ac:dyDescent="0.25">
      <c r="A63" s="32"/>
      <c r="B63" s="32"/>
      <c r="C63" s="32"/>
      <c r="D63" s="32"/>
      <c r="E63" s="32"/>
      <c r="F63" s="32"/>
      <c r="G63" s="32"/>
      <c r="H63" s="32"/>
      <c r="I63" s="32"/>
      <c r="J63" s="32"/>
      <c r="K63" s="32"/>
      <c r="L63" s="32"/>
      <c r="M63" s="32"/>
      <c r="N63" s="32"/>
      <c r="O63" s="32"/>
      <c r="P63" s="32"/>
      <c r="Q63" s="32"/>
    </row>
    <row r="64" spans="1:17" ht="13.8" hidden="1" x14ac:dyDescent="0.25">
      <c r="A64" s="32"/>
      <c r="B64" s="32"/>
      <c r="C64" s="32"/>
      <c r="D64" s="32"/>
      <c r="E64" s="32"/>
      <c r="F64" s="32"/>
      <c r="G64" s="32"/>
      <c r="H64" s="32"/>
      <c r="I64" s="32"/>
      <c r="J64" s="32"/>
      <c r="K64" s="32"/>
      <c r="L64" s="32"/>
      <c r="M64" s="32"/>
      <c r="N64" s="32"/>
      <c r="O64" s="32"/>
      <c r="P64" s="32"/>
      <c r="Q64" s="32"/>
    </row>
    <row r="65" spans="1:17" ht="13.8" hidden="1" x14ac:dyDescent="0.25">
      <c r="A65" s="32"/>
      <c r="B65" s="32"/>
      <c r="C65" s="32"/>
      <c r="D65" s="32"/>
      <c r="E65" s="32"/>
      <c r="F65" s="32"/>
      <c r="G65" s="32"/>
      <c r="H65" s="32"/>
      <c r="I65" s="32"/>
      <c r="J65" s="32"/>
      <c r="K65" s="32"/>
      <c r="L65" s="32"/>
      <c r="M65" s="32"/>
      <c r="N65" s="32"/>
      <c r="O65" s="32"/>
      <c r="P65" s="32"/>
      <c r="Q65" s="32"/>
    </row>
    <row r="66" spans="1:17" ht="13.8" hidden="1" x14ac:dyDescent="0.25">
      <c r="A66" s="32"/>
      <c r="B66" s="32"/>
      <c r="C66" s="32"/>
      <c r="D66" s="32"/>
      <c r="E66" s="32"/>
      <c r="F66" s="32"/>
      <c r="G66" s="32"/>
      <c r="H66" s="32"/>
      <c r="I66" s="32"/>
      <c r="J66" s="32"/>
      <c r="K66" s="32"/>
      <c r="L66" s="32"/>
      <c r="M66" s="32"/>
      <c r="N66" s="32"/>
      <c r="O66" s="32"/>
      <c r="P66" s="32"/>
      <c r="Q66" s="32"/>
    </row>
    <row r="67" spans="1:17" ht="13.8" hidden="1" x14ac:dyDescent="0.25">
      <c r="A67" s="32"/>
      <c r="B67" s="32"/>
      <c r="C67" s="32"/>
      <c r="D67" s="32"/>
      <c r="E67" s="32"/>
      <c r="F67" s="32"/>
      <c r="G67" s="32"/>
      <c r="H67" s="32"/>
      <c r="I67" s="32"/>
      <c r="J67" s="32"/>
      <c r="K67" s="32"/>
      <c r="L67" s="32"/>
      <c r="M67" s="32"/>
      <c r="N67" s="32"/>
      <c r="O67" s="32"/>
      <c r="P67" s="32"/>
      <c r="Q67" s="32"/>
    </row>
    <row r="68" spans="1:17" ht="13.8" hidden="1" x14ac:dyDescent="0.25">
      <c r="A68" s="32"/>
      <c r="B68" s="32"/>
      <c r="C68" s="32"/>
      <c r="D68" s="32"/>
      <c r="E68" s="32"/>
      <c r="F68" s="32"/>
      <c r="G68" s="32"/>
      <c r="H68" s="32"/>
      <c r="I68" s="32"/>
      <c r="J68" s="32"/>
      <c r="K68" s="32"/>
      <c r="L68" s="32"/>
      <c r="M68" s="32"/>
      <c r="N68" s="32"/>
      <c r="O68" s="32"/>
      <c r="P68" s="32"/>
      <c r="Q68" s="32"/>
    </row>
    <row r="69" spans="1:17" ht="13.8" hidden="1" x14ac:dyDescent="0.25">
      <c r="A69" s="32"/>
      <c r="B69" s="32"/>
      <c r="C69" s="32"/>
      <c r="D69" s="32"/>
      <c r="E69" s="32"/>
      <c r="F69" s="32"/>
      <c r="G69" s="32"/>
      <c r="H69" s="32"/>
      <c r="I69" s="32"/>
      <c r="J69" s="32"/>
      <c r="K69" s="32"/>
      <c r="L69" s="32"/>
      <c r="M69" s="32"/>
      <c r="N69" s="32"/>
      <c r="O69" s="32"/>
      <c r="P69" s="32"/>
      <c r="Q69" s="32"/>
    </row>
    <row r="70" spans="1:17" ht="13.8" hidden="1" x14ac:dyDescent="0.25">
      <c r="A70" s="32"/>
      <c r="B70" s="32"/>
      <c r="C70" s="32"/>
      <c r="D70" s="32"/>
      <c r="E70" s="32"/>
      <c r="F70" s="32"/>
      <c r="G70" s="32"/>
      <c r="H70" s="32"/>
      <c r="I70" s="32"/>
      <c r="J70" s="32"/>
      <c r="K70" s="32"/>
      <c r="L70" s="32"/>
      <c r="M70" s="32"/>
      <c r="N70" s="32"/>
      <c r="O70" s="32"/>
      <c r="P70" s="32"/>
      <c r="Q70" s="32"/>
    </row>
    <row r="71" spans="1:17" ht="13.8" hidden="1" x14ac:dyDescent="0.25">
      <c r="A71" s="32"/>
      <c r="B71" s="32"/>
      <c r="C71" s="32"/>
      <c r="D71" s="32"/>
      <c r="E71" s="32"/>
      <c r="F71" s="32"/>
      <c r="G71" s="32"/>
      <c r="H71" s="32"/>
      <c r="I71" s="32"/>
      <c r="J71" s="32"/>
      <c r="K71" s="32"/>
      <c r="L71" s="32"/>
      <c r="M71" s="32"/>
      <c r="N71" s="32"/>
      <c r="O71" s="32"/>
      <c r="P71" s="32"/>
      <c r="Q71" s="32"/>
    </row>
    <row r="72" spans="1:17" ht="13.8" hidden="1" x14ac:dyDescent="0.25">
      <c r="A72" s="32"/>
      <c r="B72" s="32"/>
      <c r="C72" s="32"/>
      <c r="D72" s="32"/>
      <c r="E72" s="32"/>
      <c r="F72" s="32"/>
      <c r="G72" s="32"/>
      <c r="H72" s="32"/>
      <c r="I72" s="32"/>
      <c r="J72" s="32"/>
      <c r="K72" s="32"/>
      <c r="L72" s="32"/>
      <c r="M72" s="32"/>
      <c r="N72" s="32"/>
      <c r="O72" s="32"/>
      <c r="P72" s="32"/>
      <c r="Q72" s="32"/>
    </row>
    <row r="73" spans="1:17" ht="13.8" hidden="1" x14ac:dyDescent="0.25">
      <c r="A73" s="32"/>
      <c r="B73" s="32"/>
      <c r="C73" s="32"/>
      <c r="D73" s="32"/>
      <c r="E73" s="32"/>
      <c r="F73" s="32"/>
      <c r="G73" s="32"/>
      <c r="H73" s="32"/>
      <c r="I73" s="32"/>
      <c r="J73" s="32"/>
      <c r="K73" s="32"/>
      <c r="L73" s="32"/>
      <c r="M73" s="32"/>
      <c r="N73" s="32"/>
      <c r="O73" s="32"/>
      <c r="P73" s="32"/>
      <c r="Q73" s="32"/>
    </row>
    <row r="74" spans="1:17" ht="13.8" hidden="1" x14ac:dyDescent="0.25">
      <c r="A74" s="32"/>
      <c r="B74" s="32"/>
      <c r="C74" s="32"/>
      <c r="D74" s="32"/>
      <c r="E74" s="32"/>
      <c r="F74" s="32"/>
      <c r="G74" s="32"/>
      <c r="H74" s="32"/>
      <c r="I74" s="32"/>
      <c r="J74" s="32"/>
      <c r="K74" s="32"/>
      <c r="L74" s="32"/>
      <c r="M74" s="32"/>
      <c r="N74" s="32"/>
      <c r="O74" s="32"/>
      <c r="P74" s="32"/>
      <c r="Q74" s="32"/>
    </row>
    <row r="75" spans="1:17" ht="13.8" hidden="1" x14ac:dyDescent="0.25">
      <c r="A75" s="32"/>
      <c r="B75" s="32"/>
      <c r="C75" s="32"/>
      <c r="D75" s="32"/>
      <c r="E75" s="32"/>
      <c r="F75" s="32"/>
      <c r="G75" s="32"/>
      <c r="H75" s="32"/>
      <c r="I75" s="32"/>
      <c r="J75" s="32"/>
      <c r="K75" s="32"/>
      <c r="L75" s="32"/>
      <c r="M75" s="32"/>
      <c r="N75" s="32"/>
      <c r="O75" s="32"/>
      <c r="P75" s="32"/>
      <c r="Q75" s="32"/>
    </row>
    <row r="76" spans="1:17" ht="13.8" hidden="1" x14ac:dyDescent="0.25">
      <c r="A76" s="32"/>
      <c r="B76" s="32"/>
      <c r="C76" s="32"/>
      <c r="D76" s="32"/>
      <c r="E76" s="32"/>
      <c r="F76" s="32"/>
      <c r="G76" s="32"/>
      <c r="H76" s="32"/>
      <c r="I76" s="32"/>
      <c r="J76" s="32"/>
      <c r="K76" s="32"/>
      <c r="L76" s="32"/>
      <c r="M76" s="32"/>
      <c r="N76" s="32"/>
      <c r="O76" s="32"/>
      <c r="P76" s="32"/>
      <c r="Q76" s="32"/>
    </row>
    <row r="77" spans="1:17" ht="13.8" hidden="1" x14ac:dyDescent="0.25">
      <c r="A77" s="32"/>
      <c r="B77" s="32"/>
      <c r="C77" s="32"/>
      <c r="D77" s="32"/>
      <c r="E77" s="32"/>
      <c r="F77" s="32"/>
      <c r="G77" s="32"/>
      <c r="H77" s="32"/>
      <c r="I77" s="32"/>
      <c r="J77" s="32"/>
      <c r="K77" s="32"/>
      <c r="L77" s="32"/>
      <c r="M77" s="32"/>
      <c r="N77" s="32"/>
      <c r="O77" s="32"/>
      <c r="P77" s="32"/>
      <c r="Q77" s="32"/>
    </row>
    <row r="78" spans="1:17" ht="13.8" hidden="1" x14ac:dyDescent="0.25">
      <c r="A78" s="32"/>
      <c r="B78" s="32"/>
      <c r="C78" s="32"/>
      <c r="D78" s="32"/>
      <c r="E78" s="32"/>
      <c r="F78" s="32"/>
      <c r="G78" s="32"/>
      <c r="H78" s="32"/>
      <c r="I78" s="32"/>
      <c r="J78" s="32"/>
      <c r="K78" s="32"/>
      <c r="L78" s="32"/>
      <c r="M78" s="32"/>
      <c r="N78" s="32"/>
      <c r="O78" s="32"/>
      <c r="P78" s="32"/>
      <c r="Q78" s="32"/>
    </row>
    <row r="79" spans="1:17" ht="13.8" hidden="1" x14ac:dyDescent="0.25">
      <c r="A79" s="32"/>
      <c r="B79" s="32"/>
      <c r="C79" s="32"/>
      <c r="D79" s="32"/>
      <c r="E79" s="32"/>
      <c r="F79" s="32"/>
      <c r="G79" s="32"/>
      <c r="H79" s="32"/>
      <c r="I79" s="32"/>
      <c r="J79" s="32"/>
      <c r="K79" s="32"/>
      <c r="L79" s="32"/>
      <c r="M79" s="32"/>
      <c r="N79" s="32"/>
      <c r="O79" s="32"/>
      <c r="P79" s="32"/>
      <c r="Q79" s="32"/>
    </row>
    <row r="80" spans="1:17" ht="13.8" hidden="1" x14ac:dyDescent="0.25">
      <c r="A80" s="32"/>
      <c r="B80" s="32"/>
      <c r="C80" s="32"/>
      <c r="D80" s="32"/>
      <c r="E80" s="32"/>
      <c r="F80" s="32"/>
      <c r="G80" s="32"/>
      <c r="H80" s="32"/>
      <c r="I80" s="32"/>
      <c r="J80" s="32"/>
      <c r="K80" s="32"/>
      <c r="L80" s="32"/>
      <c r="M80" s="32"/>
      <c r="N80" s="32"/>
      <c r="O80" s="32"/>
      <c r="P80" s="32"/>
      <c r="Q80" s="32"/>
    </row>
    <row r="81" spans="1:17" ht="13.8" hidden="1" x14ac:dyDescent="0.25">
      <c r="A81" s="32"/>
      <c r="B81" s="32"/>
      <c r="C81" s="32"/>
      <c r="D81" s="32"/>
      <c r="E81" s="32"/>
      <c r="F81" s="32"/>
      <c r="G81" s="32"/>
      <c r="H81" s="32"/>
      <c r="I81" s="32"/>
      <c r="J81" s="32"/>
      <c r="K81" s="32"/>
      <c r="L81" s="32"/>
      <c r="M81" s="32"/>
      <c r="N81" s="32"/>
      <c r="O81" s="32"/>
      <c r="P81" s="32"/>
      <c r="Q81" s="32"/>
    </row>
    <row r="82" spans="1:17" ht="13.8" hidden="1" x14ac:dyDescent="0.25">
      <c r="A82" s="32"/>
      <c r="B82" s="32"/>
      <c r="C82" s="32"/>
      <c r="D82" s="32"/>
      <c r="E82" s="32"/>
      <c r="F82" s="32"/>
      <c r="G82" s="32"/>
      <c r="H82" s="32"/>
      <c r="I82" s="32"/>
      <c r="J82" s="32"/>
      <c r="K82" s="32"/>
      <c r="L82" s="32"/>
      <c r="M82" s="32"/>
      <c r="N82" s="32"/>
      <c r="O82" s="32"/>
      <c r="P82" s="32"/>
      <c r="Q82" s="32"/>
    </row>
    <row r="83" spans="1:17" ht="13.8" hidden="1" x14ac:dyDescent="0.25">
      <c r="A83" s="32"/>
      <c r="B83" s="32"/>
      <c r="C83" s="32"/>
      <c r="D83" s="32"/>
      <c r="E83" s="32"/>
      <c r="F83" s="32"/>
      <c r="G83" s="32"/>
      <c r="H83" s="32"/>
      <c r="I83" s="32"/>
      <c r="J83" s="32"/>
      <c r="K83" s="32"/>
      <c r="L83" s="32"/>
      <c r="M83" s="32"/>
      <c r="N83" s="32"/>
      <c r="O83" s="32"/>
      <c r="P83" s="32"/>
      <c r="Q83" s="32"/>
    </row>
    <row r="84" spans="1:17" ht="13.8" hidden="1" x14ac:dyDescent="0.25">
      <c r="A84" s="32"/>
      <c r="B84" s="32"/>
      <c r="C84" s="32"/>
      <c r="D84" s="32"/>
      <c r="E84" s="32"/>
      <c r="F84" s="32"/>
      <c r="G84" s="32"/>
      <c r="H84" s="32"/>
      <c r="I84" s="32"/>
      <c r="J84" s="32"/>
      <c r="K84" s="32"/>
      <c r="L84" s="32"/>
      <c r="M84" s="32"/>
      <c r="N84" s="32"/>
      <c r="O84" s="32"/>
      <c r="P84" s="32"/>
      <c r="Q84" s="32"/>
    </row>
    <row r="85" spans="1:17" ht="13.8" hidden="1" x14ac:dyDescent="0.25">
      <c r="A85" s="32"/>
      <c r="B85" s="32"/>
      <c r="C85" s="32"/>
      <c r="D85" s="32"/>
      <c r="E85" s="32"/>
      <c r="F85" s="32"/>
      <c r="G85" s="32"/>
      <c r="H85" s="32"/>
      <c r="I85" s="32"/>
      <c r="J85" s="32"/>
      <c r="K85" s="32"/>
      <c r="L85" s="32"/>
      <c r="M85" s="32"/>
      <c r="N85" s="32"/>
      <c r="O85" s="32"/>
      <c r="P85" s="32"/>
      <c r="Q85" s="32"/>
    </row>
    <row r="86" spans="1:17" ht="13.8" hidden="1" x14ac:dyDescent="0.25">
      <c r="A86" s="32"/>
      <c r="B86" s="32"/>
      <c r="C86" s="32"/>
      <c r="D86" s="32"/>
      <c r="E86" s="32"/>
      <c r="F86" s="32"/>
      <c r="G86" s="32"/>
      <c r="H86" s="32"/>
      <c r="I86" s="32"/>
      <c r="J86" s="32"/>
      <c r="K86" s="32"/>
      <c r="L86" s="32"/>
      <c r="M86" s="32"/>
      <c r="N86" s="32"/>
      <c r="O86" s="32"/>
      <c r="P86" s="32"/>
      <c r="Q86" s="32"/>
    </row>
    <row r="87" spans="1:17" ht="13.8" hidden="1" x14ac:dyDescent="0.25">
      <c r="A87" s="32"/>
      <c r="B87" s="32"/>
      <c r="C87" s="32"/>
      <c r="D87" s="32"/>
      <c r="E87" s="32"/>
      <c r="F87" s="32"/>
      <c r="G87" s="32"/>
      <c r="H87" s="32"/>
      <c r="I87" s="32"/>
      <c r="J87" s="32"/>
      <c r="K87" s="32"/>
      <c r="L87" s="32"/>
      <c r="M87" s="32"/>
      <c r="N87" s="32"/>
      <c r="O87" s="32"/>
      <c r="P87" s="32"/>
      <c r="Q87" s="32"/>
    </row>
    <row r="88" spans="1:17" ht="13.8" hidden="1" x14ac:dyDescent="0.25">
      <c r="A88" s="32"/>
      <c r="B88" s="32"/>
      <c r="C88" s="32"/>
      <c r="D88" s="32"/>
      <c r="E88" s="32"/>
      <c r="F88" s="32"/>
      <c r="G88" s="32"/>
      <c r="H88" s="32"/>
      <c r="I88" s="32"/>
      <c r="J88" s="32"/>
      <c r="K88" s="32"/>
      <c r="L88" s="32"/>
      <c r="M88" s="32"/>
      <c r="N88" s="32"/>
      <c r="O88" s="32"/>
      <c r="P88" s="32"/>
      <c r="Q88" s="32"/>
    </row>
    <row r="89" spans="1:17" ht="13.8" hidden="1" x14ac:dyDescent="0.25">
      <c r="A89" s="32"/>
      <c r="B89" s="32"/>
      <c r="C89" s="32"/>
      <c r="D89" s="32"/>
      <c r="E89" s="32"/>
      <c r="F89" s="32"/>
      <c r="G89" s="32"/>
      <c r="H89" s="32"/>
      <c r="I89" s="32"/>
      <c r="J89" s="32"/>
      <c r="K89" s="32"/>
      <c r="L89" s="32"/>
      <c r="M89" s="32"/>
      <c r="N89" s="32"/>
      <c r="O89" s="32"/>
      <c r="P89" s="32"/>
      <c r="Q89" s="32"/>
    </row>
    <row r="90" spans="1:17" ht="13.8" hidden="1" x14ac:dyDescent="0.25">
      <c r="A90" s="32"/>
      <c r="B90" s="32"/>
      <c r="C90" s="32"/>
      <c r="D90" s="32"/>
      <c r="E90" s="32"/>
      <c r="F90" s="32"/>
      <c r="G90" s="32"/>
      <c r="H90" s="32"/>
      <c r="I90" s="32"/>
      <c r="J90" s="32"/>
      <c r="K90" s="32"/>
      <c r="L90" s="32"/>
      <c r="M90" s="32"/>
      <c r="N90" s="32"/>
      <c r="O90" s="32"/>
      <c r="P90" s="32"/>
      <c r="Q90" s="32"/>
    </row>
    <row r="91" spans="1:17" ht="13.8" hidden="1" x14ac:dyDescent="0.25">
      <c r="A91" s="32"/>
      <c r="B91" s="32"/>
      <c r="C91" s="32"/>
      <c r="D91" s="32"/>
      <c r="E91" s="32"/>
      <c r="F91" s="32"/>
      <c r="G91" s="32"/>
      <c r="H91" s="32"/>
      <c r="I91" s="32"/>
      <c r="J91" s="32"/>
      <c r="K91" s="32"/>
      <c r="L91" s="32"/>
      <c r="M91" s="32"/>
      <c r="N91" s="32"/>
      <c r="O91" s="32"/>
      <c r="P91" s="32"/>
      <c r="Q91" s="32"/>
    </row>
    <row r="92" spans="1:17" ht="13.8" hidden="1" x14ac:dyDescent="0.25">
      <c r="A92" s="32"/>
      <c r="B92" s="32"/>
      <c r="C92" s="32"/>
      <c r="D92" s="32"/>
      <c r="E92" s="32"/>
      <c r="F92" s="32"/>
      <c r="G92" s="32"/>
      <c r="H92" s="32"/>
      <c r="I92" s="32"/>
      <c r="J92" s="32"/>
      <c r="K92" s="32"/>
      <c r="L92" s="32"/>
      <c r="M92" s="32"/>
      <c r="N92" s="32"/>
      <c r="O92" s="32"/>
      <c r="P92" s="32"/>
      <c r="Q92" s="32"/>
    </row>
    <row r="93" spans="1:17" ht="13.8" hidden="1" x14ac:dyDescent="0.25">
      <c r="A93" s="32"/>
      <c r="B93" s="32"/>
      <c r="C93" s="32"/>
      <c r="D93" s="32"/>
      <c r="E93" s="32"/>
      <c r="F93" s="32"/>
      <c r="G93" s="32"/>
      <c r="H93" s="32"/>
      <c r="I93" s="32"/>
      <c r="J93" s="32"/>
      <c r="K93" s="32"/>
      <c r="L93" s="32"/>
      <c r="M93" s="32"/>
      <c r="N93" s="32"/>
      <c r="O93" s="32"/>
      <c r="P93" s="32"/>
      <c r="Q93" s="32"/>
    </row>
    <row r="94" spans="1:17" ht="13.8" hidden="1" x14ac:dyDescent="0.25">
      <c r="A94" s="32"/>
      <c r="B94" s="32"/>
      <c r="C94" s="32"/>
      <c r="D94" s="32"/>
      <c r="E94" s="32"/>
      <c r="F94" s="32"/>
      <c r="G94" s="32"/>
      <c r="H94" s="32"/>
      <c r="I94" s="32"/>
      <c r="J94" s="32"/>
      <c r="K94" s="32"/>
      <c r="L94" s="32"/>
      <c r="M94" s="32"/>
      <c r="N94" s="32"/>
      <c r="O94" s="32"/>
      <c r="P94" s="32"/>
      <c r="Q94" s="32"/>
    </row>
    <row r="95" spans="1:17" ht="13.8" hidden="1" x14ac:dyDescent="0.25">
      <c r="A95" s="32"/>
      <c r="B95" s="32"/>
      <c r="C95" s="32"/>
      <c r="D95" s="32"/>
      <c r="E95" s="32"/>
      <c r="F95" s="32"/>
      <c r="G95" s="32"/>
      <c r="H95" s="32"/>
      <c r="I95" s="32"/>
      <c r="J95" s="32"/>
      <c r="K95" s="32"/>
      <c r="L95" s="32"/>
      <c r="M95" s="32"/>
      <c r="N95" s="32"/>
      <c r="O95" s="32"/>
      <c r="P95" s="32"/>
      <c r="Q95" s="32"/>
    </row>
    <row r="96" spans="1:17" ht="13.8" hidden="1" x14ac:dyDescent="0.25">
      <c r="A96" s="32"/>
      <c r="B96" s="32"/>
      <c r="C96" s="32"/>
      <c r="D96" s="32"/>
      <c r="E96" s="32"/>
      <c r="F96" s="32"/>
      <c r="G96" s="32"/>
      <c r="H96" s="32"/>
      <c r="I96" s="32"/>
      <c r="J96" s="32"/>
      <c r="K96" s="32"/>
      <c r="L96" s="32"/>
      <c r="M96" s="32"/>
      <c r="N96" s="32"/>
      <c r="O96" s="32"/>
      <c r="P96" s="32"/>
      <c r="Q96" s="32"/>
    </row>
    <row r="97" spans="1:17" ht="13.8" hidden="1" x14ac:dyDescent="0.25">
      <c r="A97" s="32"/>
      <c r="B97" s="32"/>
      <c r="C97" s="32"/>
      <c r="D97" s="32"/>
      <c r="E97" s="32"/>
      <c r="F97" s="32"/>
      <c r="G97" s="32"/>
      <c r="H97" s="32"/>
      <c r="I97" s="32"/>
      <c r="J97" s="32"/>
      <c r="K97" s="32"/>
      <c r="L97" s="32"/>
      <c r="M97" s="32"/>
      <c r="N97" s="32"/>
      <c r="O97" s="32"/>
      <c r="P97" s="32"/>
      <c r="Q97" s="32"/>
    </row>
    <row r="98" spans="1:17" ht="13.8" hidden="1" x14ac:dyDescent="0.25">
      <c r="A98" s="32"/>
      <c r="B98" s="32"/>
      <c r="C98" s="32"/>
      <c r="D98" s="32"/>
      <c r="E98" s="32"/>
      <c r="F98" s="32"/>
      <c r="G98" s="32"/>
      <c r="H98" s="32"/>
      <c r="I98" s="32"/>
      <c r="J98" s="32"/>
      <c r="K98" s="32"/>
      <c r="L98" s="32"/>
      <c r="M98" s="32"/>
      <c r="N98" s="32"/>
      <c r="O98" s="32"/>
      <c r="P98" s="32"/>
      <c r="Q98" s="32"/>
    </row>
    <row r="99" spans="1:17" ht="13.8" hidden="1" x14ac:dyDescent="0.25">
      <c r="A99" s="32"/>
      <c r="B99" s="32"/>
      <c r="C99" s="32"/>
      <c r="D99" s="32"/>
      <c r="E99" s="32"/>
      <c r="F99" s="32"/>
      <c r="G99" s="32"/>
      <c r="H99" s="32"/>
      <c r="I99" s="32"/>
      <c r="J99" s="32"/>
      <c r="K99" s="32"/>
      <c r="L99" s="32"/>
      <c r="M99" s="32"/>
      <c r="N99" s="32"/>
      <c r="O99" s="32"/>
      <c r="P99" s="32"/>
      <c r="Q99" s="32"/>
    </row>
    <row r="100" spans="1:17" ht="13.8" hidden="1" x14ac:dyDescent="0.25">
      <c r="A100" s="32"/>
      <c r="B100" s="32"/>
      <c r="C100" s="32"/>
      <c r="D100" s="32"/>
      <c r="E100" s="32"/>
      <c r="F100" s="32"/>
      <c r="G100" s="32"/>
      <c r="H100" s="32"/>
      <c r="I100" s="32"/>
      <c r="J100" s="32"/>
      <c r="K100" s="32"/>
      <c r="L100" s="32"/>
      <c r="M100" s="32"/>
      <c r="N100" s="32"/>
      <c r="O100" s="32"/>
      <c r="P100" s="32"/>
      <c r="Q100" s="32"/>
    </row>
    <row r="101" spans="1:17" ht="13.8" hidden="1" x14ac:dyDescent="0.25">
      <c r="A101" s="32"/>
      <c r="B101" s="32"/>
      <c r="C101" s="32"/>
      <c r="D101" s="32"/>
      <c r="E101" s="32"/>
      <c r="F101" s="32"/>
      <c r="G101" s="32"/>
      <c r="H101" s="32"/>
      <c r="I101" s="32"/>
      <c r="J101" s="32"/>
      <c r="K101" s="32"/>
      <c r="L101" s="32"/>
      <c r="M101" s="32"/>
      <c r="N101" s="32"/>
      <c r="O101" s="32"/>
      <c r="P101" s="32"/>
      <c r="Q101" s="32"/>
    </row>
    <row r="102" spans="1:17" ht="13.8" hidden="1" x14ac:dyDescent="0.25">
      <c r="A102" s="32"/>
      <c r="B102" s="32"/>
      <c r="C102" s="32"/>
      <c r="D102" s="32"/>
      <c r="E102" s="32"/>
      <c r="F102" s="32"/>
      <c r="G102" s="32"/>
      <c r="H102" s="32"/>
      <c r="I102" s="32"/>
      <c r="J102" s="32"/>
      <c r="K102" s="32"/>
      <c r="L102" s="32"/>
      <c r="M102" s="32"/>
      <c r="N102" s="32"/>
      <c r="O102" s="32"/>
      <c r="P102" s="32"/>
      <c r="Q102" s="32"/>
    </row>
    <row r="103" spans="1:17" ht="13.8" hidden="1" x14ac:dyDescent="0.25">
      <c r="A103" s="32"/>
      <c r="B103" s="32"/>
      <c r="C103" s="32"/>
      <c r="D103" s="32"/>
      <c r="E103" s="32"/>
      <c r="F103" s="32"/>
      <c r="G103" s="32"/>
      <c r="H103" s="32"/>
      <c r="I103" s="32"/>
      <c r="J103" s="32"/>
      <c r="K103" s="32"/>
      <c r="L103" s="32"/>
      <c r="M103" s="32"/>
      <c r="N103" s="32"/>
      <c r="O103" s="32"/>
      <c r="P103" s="32"/>
      <c r="Q103" s="32"/>
    </row>
    <row r="104" spans="1:17" ht="13.8" hidden="1" x14ac:dyDescent="0.25">
      <c r="A104" s="32"/>
      <c r="B104" s="32"/>
      <c r="C104" s="32"/>
      <c r="D104" s="32"/>
      <c r="E104" s="32"/>
      <c r="F104" s="32"/>
      <c r="G104" s="32"/>
      <c r="H104" s="32"/>
      <c r="I104" s="32"/>
      <c r="J104" s="32"/>
      <c r="K104" s="32"/>
      <c r="L104" s="32"/>
      <c r="M104" s="32"/>
      <c r="N104" s="32"/>
      <c r="O104" s="32"/>
      <c r="P104" s="32"/>
      <c r="Q104" s="32"/>
    </row>
    <row r="105" spans="1:17" ht="13.8" hidden="1" x14ac:dyDescent="0.25">
      <c r="A105" s="32"/>
      <c r="B105" s="32"/>
      <c r="C105" s="32"/>
      <c r="D105" s="32"/>
      <c r="E105" s="32"/>
      <c r="F105" s="32"/>
      <c r="G105" s="32"/>
      <c r="H105" s="32"/>
      <c r="I105" s="32"/>
      <c r="J105" s="32"/>
      <c r="K105" s="32"/>
      <c r="L105" s="32"/>
      <c r="M105" s="32"/>
      <c r="N105" s="32"/>
      <c r="O105" s="32"/>
      <c r="P105" s="32"/>
      <c r="Q105" s="32"/>
    </row>
    <row r="106" spans="1:17" ht="13.8" hidden="1" x14ac:dyDescent="0.25">
      <c r="A106" s="32"/>
      <c r="B106" s="32"/>
      <c r="C106" s="32"/>
      <c r="D106" s="32"/>
      <c r="E106" s="32"/>
      <c r="F106" s="32"/>
      <c r="G106" s="32"/>
      <c r="H106" s="32"/>
      <c r="I106" s="32"/>
      <c r="J106" s="32"/>
      <c r="K106" s="32"/>
      <c r="L106" s="32"/>
      <c r="M106" s="32"/>
      <c r="N106" s="32"/>
      <c r="O106" s="32"/>
      <c r="P106" s="32"/>
      <c r="Q106" s="32"/>
    </row>
    <row r="107" spans="1:17" ht="13.8" hidden="1" x14ac:dyDescent="0.25">
      <c r="A107" s="32"/>
      <c r="B107" s="32"/>
      <c r="C107" s="32"/>
      <c r="D107" s="32"/>
      <c r="E107" s="32"/>
      <c r="F107" s="32"/>
      <c r="H107" s="32"/>
      <c r="I107" s="32"/>
      <c r="J107" s="32"/>
      <c r="K107" s="32"/>
      <c r="L107" s="32"/>
      <c r="M107" s="32"/>
      <c r="N107" s="32"/>
      <c r="O107" s="32"/>
      <c r="P107" s="32"/>
      <c r="Q107" s="32"/>
    </row>
    <row r="108" spans="1:17" ht="13.8" hidden="1" x14ac:dyDescent="0.25">
      <c r="A108" s="32"/>
      <c r="B108" s="32"/>
      <c r="C108" s="32"/>
      <c r="D108" s="32"/>
      <c r="E108" s="32"/>
      <c r="F108" s="32"/>
      <c r="H108" s="32"/>
      <c r="I108" s="32"/>
      <c r="J108" s="32"/>
      <c r="K108" s="32"/>
      <c r="L108" s="32"/>
      <c r="M108" s="32"/>
      <c r="N108" s="32"/>
      <c r="O108" s="32"/>
      <c r="P108" s="32"/>
      <c r="Q108" s="32"/>
    </row>
    <row r="109" spans="1:17" ht="13.8" hidden="1" x14ac:dyDescent="0.25">
      <c r="A109" s="32"/>
      <c r="B109" s="32"/>
      <c r="C109" s="32"/>
      <c r="D109" s="32"/>
      <c r="E109" s="32"/>
      <c r="F109" s="32"/>
      <c r="H109" s="32"/>
      <c r="I109" s="32"/>
      <c r="J109" s="32"/>
      <c r="K109" s="32"/>
      <c r="L109" s="32"/>
      <c r="M109" s="32"/>
      <c r="N109" s="32"/>
      <c r="O109" s="32"/>
      <c r="P109" s="32"/>
      <c r="Q109" s="32"/>
    </row>
    <row r="110" spans="1:17" ht="13.8" hidden="1" x14ac:dyDescent="0.25">
      <c r="A110" s="32"/>
      <c r="B110" s="32"/>
      <c r="C110" s="32"/>
      <c r="D110" s="32"/>
      <c r="E110" s="32"/>
      <c r="F110" s="32"/>
      <c r="H110" s="32"/>
      <c r="I110" s="32"/>
      <c r="J110" s="32"/>
      <c r="K110" s="32"/>
      <c r="L110" s="32"/>
      <c r="M110" s="32"/>
      <c r="N110" s="32"/>
      <c r="O110" s="32"/>
      <c r="P110" s="32"/>
      <c r="Q110" s="32"/>
    </row>
    <row r="111" spans="1:17" ht="13.8" hidden="1" x14ac:dyDescent="0.25">
      <c r="A111" s="32"/>
      <c r="B111" s="32"/>
      <c r="C111" s="32"/>
      <c r="D111" s="32"/>
      <c r="E111" s="32"/>
      <c r="F111" s="32"/>
      <c r="H111" s="32"/>
      <c r="I111" s="32"/>
      <c r="J111" s="32"/>
      <c r="K111" s="32"/>
      <c r="L111" s="32"/>
      <c r="M111" s="32"/>
      <c r="N111" s="32"/>
      <c r="O111" s="32"/>
      <c r="P111" s="32"/>
      <c r="Q111" s="32"/>
    </row>
    <row r="112" spans="1:17" ht="13.8" hidden="1" x14ac:dyDescent="0.25">
      <c r="A112" s="32"/>
      <c r="B112" s="32"/>
      <c r="C112" s="32"/>
      <c r="D112" s="32"/>
      <c r="E112" s="32"/>
      <c r="F112" s="32"/>
      <c r="H112" s="32"/>
      <c r="I112" s="32"/>
      <c r="J112" s="32"/>
      <c r="K112" s="32"/>
      <c r="L112" s="32"/>
      <c r="M112" s="32"/>
      <c r="N112" s="32"/>
      <c r="O112" s="32"/>
      <c r="P112" s="32"/>
      <c r="Q112" s="32"/>
    </row>
    <row r="113" spans="1:17" ht="13.8" hidden="1" x14ac:dyDescent="0.25">
      <c r="A113" s="32"/>
      <c r="B113" s="32"/>
      <c r="C113" s="32"/>
      <c r="D113" s="32"/>
      <c r="E113" s="32"/>
      <c r="F113" s="32"/>
      <c r="H113" s="32"/>
      <c r="I113" s="32"/>
      <c r="J113" s="32"/>
      <c r="K113" s="32"/>
      <c r="L113" s="32"/>
      <c r="M113" s="32"/>
      <c r="N113" s="32"/>
      <c r="O113" s="32"/>
      <c r="P113" s="32"/>
      <c r="Q113" s="32"/>
    </row>
    <row r="114" spans="1:17" ht="13.8" hidden="1" x14ac:dyDescent="0.25">
      <c r="A114" s="32"/>
      <c r="B114" s="32"/>
      <c r="C114" s="32"/>
      <c r="D114" s="32"/>
      <c r="E114" s="32"/>
      <c r="F114" s="32"/>
      <c r="H114" s="32"/>
      <c r="I114" s="32"/>
      <c r="J114" s="32"/>
      <c r="K114" s="32"/>
      <c r="L114" s="32"/>
      <c r="M114" s="32"/>
      <c r="N114" s="32"/>
      <c r="O114" s="32"/>
      <c r="P114" s="32"/>
      <c r="Q114" s="32"/>
    </row>
    <row r="115" spans="1:17" ht="13.8" hidden="1" x14ac:dyDescent="0.25">
      <c r="A115" s="32"/>
      <c r="B115" s="32"/>
      <c r="C115" s="32"/>
      <c r="D115" s="32"/>
      <c r="E115" s="32"/>
      <c r="F115" s="32"/>
      <c r="H115" s="32"/>
      <c r="I115" s="32"/>
      <c r="J115" s="32"/>
      <c r="K115" s="32"/>
      <c r="L115" s="32"/>
      <c r="M115" s="32"/>
      <c r="N115" s="32"/>
      <c r="O115" s="32"/>
      <c r="P115" s="32"/>
      <c r="Q115" s="32"/>
    </row>
    <row r="116" spans="1:17" ht="13.8" hidden="1" x14ac:dyDescent="0.25">
      <c r="A116" s="32"/>
      <c r="B116" s="32"/>
      <c r="C116" s="32"/>
      <c r="D116" s="32"/>
      <c r="E116" s="32"/>
      <c r="F116" s="32"/>
      <c r="H116" s="32"/>
      <c r="I116" s="32"/>
      <c r="J116" s="32"/>
      <c r="K116" s="32"/>
      <c r="L116" s="32"/>
      <c r="M116" s="32"/>
      <c r="N116" s="32"/>
      <c r="O116" s="32"/>
      <c r="P116" s="32"/>
      <c r="Q116" s="32"/>
    </row>
    <row r="117" spans="1:17" ht="13.8" hidden="1" x14ac:dyDescent="0.25">
      <c r="A117" s="32"/>
      <c r="B117" s="32"/>
      <c r="C117" s="32"/>
      <c r="D117" s="32"/>
      <c r="E117" s="32"/>
      <c r="F117" s="32"/>
      <c r="H117" s="32"/>
      <c r="I117" s="32"/>
      <c r="J117" s="32"/>
      <c r="K117" s="32"/>
      <c r="L117" s="32"/>
      <c r="M117" s="32"/>
      <c r="N117" s="32"/>
      <c r="O117" s="32"/>
      <c r="P117" s="32"/>
      <c r="Q117" s="32"/>
    </row>
    <row r="118" spans="1:17" ht="13.8" hidden="1" x14ac:dyDescent="0.25">
      <c r="A118" s="32"/>
      <c r="B118" s="32"/>
      <c r="C118" s="32"/>
      <c r="D118" s="32"/>
      <c r="E118" s="32"/>
      <c r="F118" s="32"/>
      <c r="H118" s="32"/>
      <c r="I118" s="32"/>
      <c r="J118" s="32"/>
      <c r="K118" s="32"/>
      <c r="L118" s="32"/>
      <c r="M118" s="32"/>
      <c r="N118" s="32"/>
      <c r="O118" s="32"/>
      <c r="P118" s="32"/>
      <c r="Q118" s="32"/>
    </row>
    <row r="119" spans="1:17" ht="13.8" hidden="1" x14ac:dyDescent="0.25">
      <c r="A119" s="32"/>
      <c r="B119" s="32"/>
      <c r="C119" s="32"/>
      <c r="D119" s="32"/>
      <c r="E119" s="32"/>
      <c r="F119" s="32"/>
      <c r="H119" s="32"/>
      <c r="I119" s="32"/>
      <c r="J119" s="32"/>
      <c r="K119" s="32"/>
      <c r="L119" s="32"/>
      <c r="M119" s="32"/>
      <c r="N119" s="32"/>
      <c r="O119" s="32"/>
      <c r="P119" s="32"/>
      <c r="Q119" s="32"/>
    </row>
    <row r="120" spans="1:17" ht="13.8" hidden="1" x14ac:dyDescent="0.25">
      <c r="A120" s="32"/>
      <c r="B120" s="32"/>
      <c r="C120" s="32"/>
      <c r="D120" s="32"/>
      <c r="E120" s="32"/>
      <c r="F120" s="32"/>
      <c r="H120" s="32"/>
      <c r="I120" s="32"/>
      <c r="J120" s="32"/>
      <c r="K120" s="32"/>
      <c r="L120" s="32"/>
      <c r="M120" s="32"/>
      <c r="N120" s="32"/>
      <c r="O120" s="32"/>
      <c r="P120" s="32"/>
      <c r="Q120" s="32"/>
    </row>
    <row r="121" spans="1:17" ht="13.8" hidden="1" x14ac:dyDescent="0.25">
      <c r="A121" s="32"/>
      <c r="B121" s="32"/>
      <c r="C121" s="32"/>
      <c r="D121" s="32"/>
      <c r="E121" s="32"/>
      <c r="F121" s="32"/>
      <c r="H121" s="32"/>
      <c r="I121" s="32"/>
      <c r="J121" s="32"/>
      <c r="K121" s="32"/>
      <c r="L121" s="32"/>
      <c r="M121" s="32"/>
      <c r="N121" s="32"/>
      <c r="O121" s="32"/>
      <c r="P121" s="32"/>
      <c r="Q121" s="32"/>
    </row>
    <row r="122" spans="1:17" ht="13.8" hidden="1" x14ac:dyDescent="0.25">
      <c r="A122" s="32"/>
      <c r="B122" s="32"/>
      <c r="C122" s="32"/>
      <c r="D122" s="32"/>
      <c r="E122" s="32"/>
      <c r="F122" s="32"/>
      <c r="H122" s="32"/>
      <c r="I122" s="32"/>
      <c r="J122" s="32"/>
      <c r="K122" s="32"/>
      <c r="L122" s="32"/>
      <c r="M122" s="32"/>
      <c r="N122" s="32"/>
      <c r="O122" s="32"/>
      <c r="P122" s="32"/>
      <c r="Q122" s="32"/>
    </row>
    <row r="123" spans="1:17" ht="13.8" hidden="1" x14ac:dyDescent="0.25">
      <c r="A123" s="32"/>
      <c r="B123" s="32"/>
      <c r="C123" s="32"/>
      <c r="D123" s="32"/>
      <c r="E123" s="32"/>
      <c r="F123" s="32"/>
      <c r="H123" s="32"/>
      <c r="I123" s="32"/>
      <c r="J123" s="32"/>
      <c r="K123" s="32"/>
      <c r="L123" s="32"/>
      <c r="M123" s="32"/>
      <c r="N123" s="32"/>
      <c r="O123" s="32"/>
      <c r="P123" s="32"/>
      <c r="Q123" s="32"/>
    </row>
    <row r="124" spans="1:17" ht="13.8" hidden="1" x14ac:dyDescent="0.25">
      <c r="A124" s="32"/>
      <c r="B124" s="32"/>
      <c r="C124" s="32"/>
      <c r="D124" s="32"/>
      <c r="E124" s="32"/>
      <c r="F124" s="32"/>
      <c r="H124" s="32"/>
      <c r="I124" s="32"/>
      <c r="J124" s="32"/>
      <c r="K124" s="32"/>
      <c r="L124" s="32"/>
      <c r="M124" s="32"/>
      <c r="N124" s="32"/>
      <c r="O124" s="32"/>
      <c r="P124" s="32"/>
      <c r="Q124" s="32"/>
    </row>
    <row r="125" spans="1:17" ht="13.8" hidden="1" x14ac:dyDescent="0.25">
      <c r="A125" s="32"/>
      <c r="B125" s="32"/>
      <c r="C125" s="32"/>
      <c r="D125" s="32"/>
      <c r="E125" s="32"/>
      <c r="F125" s="32"/>
      <c r="H125" s="32"/>
      <c r="I125" s="32"/>
      <c r="J125" s="32"/>
      <c r="K125" s="32"/>
      <c r="L125" s="32"/>
      <c r="M125" s="32"/>
      <c r="N125" s="32"/>
      <c r="O125" s="32"/>
      <c r="P125" s="32"/>
      <c r="Q125" s="32"/>
    </row>
    <row r="126" spans="1:17" ht="13.8" hidden="1" x14ac:dyDescent="0.25">
      <c r="A126" s="32"/>
      <c r="B126" s="32"/>
      <c r="C126" s="32"/>
      <c r="D126" s="32"/>
      <c r="E126" s="32"/>
      <c r="F126" s="32"/>
      <c r="H126" s="32"/>
      <c r="I126" s="32"/>
      <c r="J126" s="32"/>
      <c r="K126" s="32"/>
      <c r="L126" s="32"/>
      <c r="M126" s="32"/>
      <c r="N126" s="32"/>
      <c r="O126" s="32"/>
      <c r="P126" s="32"/>
      <c r="Q126" s="32"/>
    </row>
    <row r="127" spans="1:17" ht="13.8" hidden="1" x14ac:dyDescent="0.25">
      <c r="A127" s="32"/>
      <c r="B127" s="32"/>
      <c r="C127" s="32"/>
      <c r="D127" s="32"/>
      <c r="E127" s="32"/>
      <c r="F127" s="32"/>
      <c r="H127" s="32"/>
      <c r="I127" s="32"/>
      <c r="J127" s="32"/>
      <c r="K127" s="32"/>
      <c r="L127" s="32"/>
      <c r="M127" s="32"/>
      <c r="N127" s="32"/>
      <c r="O127" s="32"/>
      <c r="P127" s="32"/>
      <c r="Q127" s="32"/>
    </row>
    <row r="128" spans="1:17" ht="13.8" hidden="1" x14ac:dyDescent="0.25">
      <c r="A128" s="32"/>
      <c r="B128" s="32"/>
      <c r="C128" s="32"/>
      <c r="D128" s="32"/>
      <c r="E128" s="32"/>
      <c r="F128" s="32"/>
      <c r="H128" s="32"/>
      <c r="I128" s="32"/>
      <c r="J128" s="32"/>
      <c r="K128" s="32"/>
      <c r="L128" s="32"/>
      <c r="M128" s="32"/>
      <c r="N128" s="32"/>
      <c r="O128" s="32"/>
      <c r="P128" s="32"/>
      <c r="Q128" s="32"/>
    </row>
    <row r="129" spans="1:17" ht="13.8" hidden="1" x14ac:dyDescent="0.25">
      <c r="A129" s="32"/>
      <c r="B129" s="32"/>
      <c r="C129" s="32"/>
      <c r="D129" s="32"/>
      <c r="E129" s="32"/>
      <c r="F129" s="32"/>
      <c r="H129" s="32"/>
      <c r="I129" s="32"/>
      <c r="J129" s="32"/>
      <c r="K129" s="32"/>
      <c r="L129" s="32"/>
      <c r="M129" s="32"/>
      <c r="N129" s="32"/>
      <c r="O129" s="32"/>
      <c r="P129" s="32"/>
      <c r="Q129" s="32"/>
    </row>
    <row r="130" spans="1:17" ht="13.8" hidden="1" x14ac:dyDescent="0.25">
      <c r="A130" s="32"/>
      <c r="B130" s="32"/>
      <c r="C130" s="32"/>
      <c r="D130" s="32"/>
      <c r="E130" s="32"/>
      <c r="F130" s="32"/>
      <c r="H130" s="32"/>
      <c r="I130" s="32"/>
      <c r="J130" s="32"/>
      <c r="K130" s="32"/>
      <c r="L130" s="32"/>
      <c r="M130" s="32"/>
      <c r="N130" s="32"/>
      <c r="O130" s="32"/>
      <c r="P130" s="32"/>
      <c r="Q130" s="32"/>
    </row>
    <row r="131" spans="1:17" ht="13.8" hidden="1" x14ac:dyDescent="0.25">
      <c r="A131" s="32"/>
      <c r="B131" s="32"/>
      <c r="C131" s="32"/>
      <c r="D131" s="32"/>
      <c r="E131" s="32"/>
      <c r="F131" s="32"/>
      <c r="H131" s="32"/>
      <c r="K131" s="32"/>
      <c r="L131" s="32"/>
      <c r="M131" s="32"/>
      <c r="N131" s="32"/>
      <c r="O131" s="32"/>
      <c r="P131" s="32"/>
      <c r="Q131" s="32"/>
    </row>
    <row r="132" spans="1:17" ht="13.8" hidden="1" x14ac:dyDescent="0.25">
      <c r="A132" s="32"/>
      <c r="B132" s="32"/>
      <c r="C132" s="32"/>
      <c r="D132" s="32"/>
      <c r="E132" s="32"/>
      <c r="F132" s="32"/>
      <c r="H132" s="32"/>
      <c r="K132" s="32"/>
      <c r="L132" s="32"/>
      <c r="M132" s="32"/>
      <c r="N132" s="32"/>
      <c r="O132" s="32"/>
      <c r="P132" s="32"/>
      <c r="Q132" s="32"/>
    </row>
    <row r="133" spans="1:17" ht="13.8" hidden="1" x14ac:dyDescent="0.25">
      <c r="A133" s="32"/>
      <c r="B133" s="32"/>
      <c r="C133" s="32"/>
      <c r="D133" s="32"/>
      <c r="E133" s="32"/>
      <c r="F133" s="32"/>
      <c r="H133" s="32"/>
      <c r="K133" s="32"/>
      <c r="L133" s="32"/>
      <c r="M133" s="32"/>
      <c r="N133" s="32"/>
      <c r="O133" s="32"/>
      <c r="P133" s="32"/>
      <c r="Q133" s="32"/>
    </row>
    <row r="134" spans="1:17" ht="13.8" hidden="1" x14ac:dyDescent="0.25">
      <c r="A134" s="32"/>
      <c r="B134" s="32"/>
      <c r="C134" s="32"/>
      <c r="D134" s="32"/>
      <c r="E134" s="32"/>
      <c r="F134" s="32"/>
      <c r="H134" s="32"/>
      <c r="K134" s="32"/>
      <c r="L134" s="32"/>
      <c r="M134" s="32"/>
      <c r="N134" s="32"/>
      <c r="O134" s="32"/>
      <c r="P134" s="32"/>
      <c r="Q134" s="32"/>
    </row>
    <row r="135" spans="1:17" ht="13.8" hidden="1" x14ac:dyDescent="0.25">
      <c r="A135" s="32"/>
      <c r="B135" s="32"/>
      <c r="C135" s="32"/>
      <c r="D135" s="32"/>
      <c r="E135" s="32"/>
      <c r="F135" s="32"/>
      <c r="H135" s="32"/>
      <c r="K135" s="32"/>
      <c r="L135" s="32"/>
      <c r="M135" s="32"/>
      <c r="N135" s="32"/>
      <c r="O135" s="32"/>
      <c r="P135" s="32"/>
      <c r="Q135" s="32"/>
    </row>
    <row r="136" spans="1:17" ht="13.8" hidden="1" x14ac:dyDescent="0.25">
      <c r="A136" s="32"/>
      <c r="B136" s="32"/>
      <c r="C136" s="32"/>
      <c r="D136" s="32"/>
      <c r="E136" s="32"/>
      <c r="F136" s="32"/>
      <c r="H136" s="32"/>
      <c r="K136" s="32"/>
      <c r="L136" s="32"/>
      <c r="M136" s="32"/>
      <c r="N136" s="32"/>
      <c r="O136" s="32"/>
      <c r="P136" s="32"/>
      <c r="Q136" s="32"/>
    </row>
    <row r="137" spans="1:17" ht="13.8" hidden="1" x14ac:dyDescent="0.25">
      <c r="A137" s="32"/>
      <c r="B137" s="32"/>
      <c r="C137" s="32"/>
      <c r="D137" s="32"/>
      <c r="E137" s="32"/>
      <c r="F137" s="32"/>
      <c r="H137" s="32"/>
      <c r="K137" s="32"/>
      <c r="L137" s="32"/>
      <c r="M137" s="32"/>
      <c r="N137" s="32"/>
      <c r="O137" s="32"/>
      <c r="P137" s="32"/>
      <c r="Q137" s="32"/>
    </row>
    <row r="138" spans="1:17" ht="13.8" hidden="1" x14ac:dyDescent="0.25">
      <c r="A138" s="32"/>
      <c r="B138" s="32"/>
      <c r="C138" s="32"/>
      <c r="D138" s="32"/>
      <c r="E138" s="32"/>
      <c r="F138" s="32"/>
      <c r="H138" s="32"/>
      <c r="K138" s="32"/>
      <c r="L138" s="32"/>
      <c r="M138" s="32"/>
      <c r="N138" s="32"/>
      <c r="O138" s="32"/>
      <c r="P138" s="32"/>
      <c r="Q138" s="32"/>
    </row>
    <row r="139" spans="1:17" ht="13.8" hidden="1" x14ac:dyDescent="0.25">
      <c r="A139" s="32"/>
      <c r="B139" s="32"/>
      <c r="C139" s="32"/>
      <c r="D139" s="32"/>
      <c r="E139" s="32"/>
      <c r="F139" s="32"/>
      <c r="H139" s="32"/>
      <c r="K139" s="32"/>
      <c r="L139" s="32"/>
      <c r="M139" s="32"/>
      <c r="N139" s="32"/>
      <c r="O139" s="32"/>
      <c r="P139" s="32"/>
      <c r="Q139" s="32"/>
    </row>
    <row r="140" spans="1:17" ht="13.8" hidden="1" x14ac:dyDescent="0.25">
      <c r="A140" s="32"/>
      <c r="B140" s="32"/>
      <c r="C140" s="32"/>
      <c r="D140" s="32"/>
      <c r="E140" s="32"/>
      <c r="F140" s="32"/>
      <c r="H140" s="32"/>
      <c r="K140" s="32"/>
      <c r="L140" s="32"/>
      <c r="M140" s="32"/>
      <c r="N140" s="32"/>
      <c r="O140" s="32"/>
      <c r="P140" s="32"/>
      <c r="Q140" s="32"/>
    </row>
    <row r="141" spans="1:17" ht="13.8" hidden="1" x14ac:dyDescent="0.25">
      <c r="A141" s="32"/>
      <c r="B141" s="32"/>
      <c r="C141" s="32"/>
      <c r="D141" s="32"/>
      <c r="E141" s="32"/>
      <c r="F141" s="32"/>
      <c r="H141" s="32"/>
      <c r="K141" s="32"/>
      <c r="L141" s="32"/>
      <c r="M141" s="32"/>
      <c r="N141" s="32"/>
      <c r="O141" s="32"/>
      <c r="P141" s="32"/>
      <c r="Q141" s="32"/>
    </row>
    <row r="142" spans="1:17" ht="13.8" hidden="1" x14ac:dyDescent="0.25">
      <c r="A142" s="32"/>
      <c r="B142" s="32"/>
      <c r="C142" s="32"/>
      <c r="D142" s="32"/>
      <c r="E142" s="32"/>
      <c r="F142" s="32"/>
      <c r="H142" s="32"/>
      <c r="K142" s="32"/>
      <c r="L142" s="32"/>
      <c r="M142" s="32"/>
      <c r="N142" s="32"/>
      <c r="O142" s="32"/>
      <c r="P142" s="32"/>
      <c r="Q142" s="32"/>
    </row>
    <row r="143" spans="1:17" ht="13.8" hidden="1" x14ac:dyDescent="0.25">
      <c r="A143" s="32"/>
      <c r="B143" s="32"/>
      <c r="C143" s="32"/>
      <c r="D143" s="32"/>
      <c r="E143" s="32"/>
      <c r="F143" s="32"/>
      <c r="H143" s="32"/>
      <c r="K143" s="32"/>
      <c r="L143" s="32"/>
      <c r="M143" s="32"/>
      <c r="N143" s="32"/>
      <c r="O143" s="32"/>
      <c r="P143" s="32"/>
      <c r="Q143" s="32"/>
    </row>
    <row r="144" spans="1:17" ht="13.8" hidden="1" x14ac:dyDescent="0.25">
      <c r="A144" s="32"/>
    </row>
    <row r="145" spans="1:1" ht="13.8" hidden="1" x14ac:dyDescent="0.25">
      <c r="A145" s="32"/>
    </row>
    <row r="146" spans="1:1" ht="13.8" hidden="1" x14ac:dyDescent="0.25">
      <c r="A146" s="32"/>
    </row>
    <row r="147" spans="1:1" ht="13.8" hidden="1" x14ac:dyDescent="0.25">
      <c r="A147" s="32"/>
    </row>
    <row r="148" spans="1:1" ht="13.8" hidden="1" x14ac:dyDescent="0.25">
      <c r="A148" s="32"/>
    </row>
    <row r="149" spans="1:1" ht="13.8" hidden="1" x14ac:dyDescent="0.25">
      <c r="A149" s="32"/>
    </row>
    <row r="150" spans="1:1" ht="13.8" hidden="1" x14ac:dyDescent="0.25">
      <c r="A150" s="32"/>
    </row>
    <row r="151" spans="1:1" ht="13.8" hidden="1" x14ac:dyDescent="0.25">
      <c r="A151" s="32"/>
    </row>
    <row r="152" spans="1:1" ht="13.8" hidden="1" x14ac:dyDescent="0.25">
      <c r="A152" s="32"/>
    </row>
    <row r="153" spans="1:1" ht="13.8" hidden="1" x14ac:dyDescent="0.25">
      <c r="A153" s="32"/>
    </row>
    <row r="154" spans="1:1" ht="13.8" hidden="1" x14ac:dyDescent="0.25">
      <c r="A154" s="32"/>
    </row>
    <row r="155" spans="1:1" ht="13.8" hidden="1" x14ac:dyDescent="0.25">
      <c r="A155" s="32"/>
    </row>
    <row r="156" spans="1:1" ht="13.8" hidden="1" x14ac:dyDescent="0.25">
      <c r="A156" s="32"/>
    </row>
    <row r="157" spans="1:1" ht="13.8" hidden="1" x14ac:dyDescent="0.25">
      <c r="A157" s="32"/>
    </row>
    <row r="158" spans="1:1" ht="13.8" hidden="1" x14ac:dyDescent="0.25">
      <c r="A158" s="32"/>
    </row>
    <row r="159" spans="1:1" ht="13.8" hidden="1" x14ac:dyDescent="0.25">
      <c r="A159" s="32"/>
    </row>
    <row r="160" spans="1:1" ht="13.8" hidden="1" x14ac:dyDescent="0.25">
      <c r="A160" s="32"/>
    </row>
    <row r="161" spans="1:1" ht="13.8" hidden="1" x14ac:dyDescent="0.25">
      <c r="A161" s="32"/>
    </row>
    <row r="162" spans="1:1" ht="13.8" hidden="1" x14ac:dyDescent="0.25">
      <c r="A162" s="32"/>
    </row>
    <row r="163" spans="1:1" ht="13.8" hidden="1" x14ac:dyDescent="0.25">
      <c r="A163" s="32"/>
    </row>
    <row r="164" spans="1:1" ht="13.8" hidden="1" x14ac:dyDescent="0.25">
      <c r="A164" s="32"/>
    </row>
    <row r="165" spans="1:1" ht="13.8" hidden="1" x14ac:dyDescent="0.25">
      <c r="A165" s="32"/>
    </row>
    <row r="166" spans="1:1" ht="13.8" hidden="1" x14ac:dyDescent="0.25">
      <c r="A166" s="32"/>
    </row>
    <row r="167" spans="1:1" ht="13.8" hidden="1" x14ac:dyDescent="0.25">
      <c r="A167" s="32"/>
    </row>
    <row r="168" spans="1:1" ht="13.8" hidden="1" x14ac:dyDescent="0.25">
      <c r="A168" s="32"/>
    </row>
    <row r="169" spans="1:1" ht="13.8" hidden="1" x14ac:dyDescent="0.25">
      <c r="A169" s="32"/>
    </row>
    <row r="170" spans="1:1" ht="13.8" hidden="1" x14ac:dyDescent="0.25">
      <c r="A170" s="32"/>
    </row>
    <row r="171" spans="1:1" ht="13.8" hidden="1" x14ac:dyDescent="0.25">
      <c r="A171" s="32"/>
    </row>
    <row r="172" spans="1:1" ht="13.8" hidden="1" x14ac:dyDescent="0.25">
      <c r="A172" s="32"/>
    </row>
    <row r="173" spans="1:1" ht="13.8" hidden="1" x14ac:dyDescent="0.25">
      <c r="A173" s="32"/>
    </row>
    <row r="174" spans="1:1" ht="13.8" hidden="1" x14ac:dyDescent="0.25">
      <c r="A174" s="32"/>
    </row>
    <row r="175" spans="1:1" ht="13.8" hidden="1" x14ac:dyDescent="0.25">
      <c r="A175" s="32"/>
    </row>
    <row r="176" spans="1:1" ht="13.8" hidden="1" x14ac:dyDescent="0.25">
      <c r="A176" s="32"/>
    </row>
    <row r="177" spans="1:1" ht="13.8" hidden="1" x14ac:dyDescent="0.25">
      <c r="A177" s="32"/>
    </row>
    <row r="178" spans="1:1" ht="13.8" hidden="1" x14ac:dyDescent="0.25">
      <c r="A178" s="32"/>
    </row>
    <row r="179" spans="1:1" ht="13.8" hidden="1" x14ac:dyDescent="0.25">
      <c r="A179" s="32"/>
    </row>
    <row r="180" spans="1:1" ht="13.8" hidden="1" x14ac:dyDescent="0.25">
      <c r="A180" s="32"/>
    </row>
    <row r="181" spans="1:1" ht="13.8" hidden="1" x14ac:dyDescent="0.25">
      <c r="A181" s="32"/>
    </row>
    <row r="182" spans="1:1" ht="13.8" hidden="1" x14ac:dyDescent="0.25">
      <c r="A182" s="32"/>
    </row>
    <row r="183" spans="1:1" ht="13.8" hidden="1" x14ac:dyDescent="0.25">
      <c r="A183" s="32"/>
    </row>
    <row r="184" spans="1:1" ht="13.8" x14ac:dyDescent="0.25"/>
    <row r="185" spans="1:1" ht="13.8" x14ac:dyDescent="0.25"/>
    <row r="186" spans="1:1" ht="13.8" x14ac:dyDescent="0.25"/>
    <row r="187" spans="1:1" ht="13.8" x14ac:dyDescent="0.25"/>
    <row r="188" spans="1:1" ht="13.8" x14ac:dyDescent="0.25"/>
    <row r="189" spans="1:1" ht="13.8" x14ac:dyDescent="0.25"/>
    <row r="190" spans="1:1" ht="13.8" x14ac:dyDescent="0.25"/>
    <row r="191" spans="1:1" ht="13.8" x14ac:dyDescent="0.25"/>
    <row r="192" spans="1:1" ht="14.1" customHeight="1" x14ac:dyDescent="0.25"/>
    <row r="193" ht="14.1" customHeight="1" x14ac:dyDescent="0.25"/>
    <row r="194" ht="14.1" customHeight="1" x14ac:dyDescent="0.25"/>
    <row r="195" ht="14.1" customHeight="1" x14ac:dyDescent="0.25"/>
    <row r="196" ht="14.1" customHeight="1" x14ac:dyDescent="0.25"/>
    <row r="197" ht="14.1" customHeight="1" x14ac:dyDescent="0.25"/>
    <row r="198" ht="14.1" customHeight="1" x14ac:dyDescent="0.25"/>
    <row r="199" ht="14.1" customHeight="1" x14ac:dyDescent="0.25"/>
    <row r="200" ht="14.1" customHeight="1" x14ac:dyDescent="0.25"/>
    <row r="201" ht="14.1" customHeight="1" x14ac:dyDescent="0.25"/>
    <row r="202" ht="14.1" customHeight="1" x14ac:dyDescent="0.25"/>
    <row r="203" ht="14.1" customHeight="1" x14ac:dyDescent="0.25"/>
    <row r="204" ht="14.1" customHeight="1" x14ac:dyDescent="0.25"/>
    <row r="205" ht="14.1" customHeight="1" x14ac:dyDescent="0.25"/>
    <row r="206" ht="14.1" customHeight="1" x14ac:dyDescent="0.25"/>
    <row r="207" ht="14.1" customHeight="1" x14ac:dyDescent="0.25"/>
    <row r="208" ht="14.1" customHeight="1" x14ac:dyDescent="0.25"/>
    <row r="209" ht="14.1" customHeight="1" x14ac:dyDescent="0.25"/>
    <row r="210" ht="14.1" customHeight="1" x14ac:dyDescent="0.25"/>
    <row r="211" ht="14.1" customHeight="1" x14ac:dyDescent="0.25"/>
    <row r="212" ht="14.1" customHeight="1" x14ac:dyDescent="0.25"/>
    <row r="213" ht="14.1" customHeight="1" x14ac:dyDescent="0.25"/>
    <row r="214" ht="14.1" customHeight="1" x14ac:dyDescent="0.25"/>
    <row r="215" ht="14.1" customHeight="1" x14ac:dyDescent="0.25"/>
    <row r="216" ht="14.1" customHeight="1" x14ac:dyDescent="0.25"/>
    <row r="217" ht="14.1" customHeight="1" x14ac:dyDescent="0.25"/>
    <row r="218" ht="14.1" customHeight="1" x14ac:dyDescent="0.25"/>
    <row r="219" ht="14.1" customHeight="1" x14ac:dyDescent="0.25"/>
    <row r="220" ht="14.1" customHeight="1" x14ac:dyDescent="0.25"/>
    <row r="221" ht="14.1" customHeight="1" x14ac:dyDescent="0.25"/>
    <row r="222" ht="14.1" customHeight="1" x14ac:dyDescent="0.25"/>
    <row r="223" ht="14.1" customHeight="1" x14ac:dyDescent="0.25"/>
    <row r="224" ht="14.1" customHeight="1" x14ac:dyDescent="0.25"/>
    <row r="225" ht="14.1" customHeight="1" x14ac:dyDescent="0.25"/>
    <row r="226" ht="14.1" customHeight="1" x14ac:dyDescent="0.25"/>
    <row r="227" ht="14.1" customHeight="1" x14ac:dyDescent="0.25"/>
    <row r="228" ht="14.1" customHeight="1" x14ac:dyDescent="0.25"/>
    <row r="229" ht="14.1" customHeight="1" x14ac:dyDescent="0.25"/>
    <row r="230" ht="14.1" customHeight="1" x14ac:dyDescent="0.25"/>
    <row r="231" ht="14.1" customHeight="1" x14ac:dyDescent="0.25"/>
    <row r="232" ht="14.1" customHeight="1" x14ac:dyDescent="0.25"/>
    <row r="233" ht="14.1" customHeight="1" x14ac:dyDescent="0.25"/>
    <row r="234" ht="14.1" customHeight="1" x14ac:dyDescent="0.25"/>
    <row r="235" ht="14.1" customHeight="1" x14ac:dyDescent="0.25"/>
    <row r="236" ht="14.1" customHeight="1" x14ac:dyDescent="0.25"/>
    <row r="237" ht="14.1" customHeight="1" x14ac:dyDescent="0.25"/>
    <row r="238" ht="14.1" customHeight="1" x14ac:dyDescent="0.25"/>
    <row r="239" ht="14.1" customHeight="1" x14ac:dyDescent="0.25"/>
    <row r="240" ht="14.1" customHeight="1" x14ac:dyDescent="0.25"/>
    <row r="241" ht="14.1" customHeight="1" x14ac:dyDescent="0.25"/>
    <row r="242" ht="14.1" customHeight="1" x14ac:dyDescent="0.25"/>
    <row r="243" ht="14.1" customHeight="1" x14ac:dyDescent="0.25"/>
    <row r="244" ht="14.1" customHeight="1" x14ac:dyDescent="0.25"/>
    <row r="245" ht="14.1" customHeight="1" x14ac:dyDescent="0.25"/>
    <row r="246" ht="14.1" customHeight="1" x14ac:dyDescent="0.25"/>
    <row r="247" ht="14.1" customHeight="1" x14ac:dyDescent="0.25"/>
    <row r="248" ht="14.1" customHeight="1" x14ac:dyDescent="0.25"/>
    <row r="249" ht="14.1" customHeight="1" x14ac:dyDescent="0.25"/>
    <row r="250" ht="14.1" customHeight="1" x14ac:dyDescent="0.25"/>
    <row r="251" ht="14.1" customHeight="1" x14ac:dyDescent="0.25"/>
    <row r="252" ht="14.1" customHeight="1" x14ac:dyDescent="0.25"/>
    <row r="253" ht="14.1" customHeight="1" x14ac:dyDescent="0.25"/>
    <row r="254" ht="14.1" customHeight="1" x14ac:dyDescent="0.25"/>
    <row r="255" ht="14.1" customHeight="1" x14ac:dyDescent="0.25"/>
    <row r="256" ht="14.1" customHeight="1" x14ac:dyDescent="0.25"/>
    <row r="257" ht="14.1" customHeight="1" x14ac:dyDescent="0.25"/>
    <row r="258" ht="14.1" customHeight="1" x14ac:dyDescent="0.25"/>
    <row r="259" ht="14.1" customHeight="1" x14ac:dyDescent="0.25"/>
    <row r="260" ht="14.1" customHeight="1" x14ac:dyDescent="0.25"/>
    <row r="261" ht="14.1" customHeight="1" x14ac:dyDescent="0.25"/>
    <row r="262" ht="14.1" customHeight="1" x14ac:dyDescent="0.25"/>
    <row r="263" ht="14.1" customHeight="1" x14ac:dyDescent="0.25"/>
    <row r="264" ht="14.1" customHeight="1" x14ac:dyDescent="0.25"/>
    <row r="265" ht="14.1" customHeight="1" x14ac:dyDescent="0.25"/>
    <row r="266" ht="14.1" customHeight="1" x14ac:dyDescent="0.25"/>
    <row r="267" ht="14.1" customHeight="1" x14ac:dyDescent="0.25"/>
    <row r="268" ht="14.1" customHeight="1" x14ac:dyDescent="0.25"/>
    <row r="269" ht="14.1" customHeight="1" x14ac:dyDescent="0.25"/>
    <row r="270" ht="14.1" customHeight="1" x14ac:dyDescent="0.25"/>
    <row r="271" ht="14.1" customHeight="1" x14ac:dyDescent="0.25"/>
    <row r="272" ht="14.1" customHeight="1" x14ac:dyDescent="0.25"/>
    <row r="273" ht="14.1" customHeight="1" x14ac:dyDescent="0.25"/>
    <row r="274" ht="14.1" customHeight="1" x14ac:dyDescent="0.25"/>
    <row r="275" ht="14.1" customHeight="1" x14ac:dyDescent="0.25"/>
    <row r="276" ht="14.1" customHeight="1" x14ac:dyDescent="0.25"/>
    <row r="277" ht="14.1" customHeight="1" x14ac:dyDescent="0.25"/>
    <row r="278" ht="14.1" customHeight="1" x14ac:dyDescent="0.25"/>
    <row r="279" ht="14.1" customHeight="1" x14ac:dyDescent="0.25"/>
    <row r="280" ht="14.1" customHeight="1" x14ac:dyDescent="0.25"/>
    <row r="281" ht="14.1" customHeight="1" x14ac:dyDescent="0.25"/>
    <row r="282" ht="14.1" customHeight="1" x14ac:dyDescent="0.25"/>
    <row r="283" ht="14.1" customHeight="1" x14ac:dyDescent="0.25"/>
    <row r="284" ht="14.1" customHeight="1" x14ac:dyDescent="0.25"/>
    <row r="285" ht="14.1" customHeight="1" x14ac:dyDescent="0.25"/>
    <row r="286" ht="14.1" customHeight="1" x14ac:dyDescent="0.25"/>
    <row r="287" ht="14.1" customHeight="1" x14ac:dyDescent="0.25"/>
    <row r="288" ht="14.1" customHeight="1" x14ac:dyDescent="0.25"/>
    <row r="289" ht="14.1" customHeight="1" x14ac:dyDescent="0.25"/>
    <row r="290" ht="14.1" customHeight="1" x14ac:dyDescent="0.25"/>
    <row r="291" ht="14.1" customHeight="1" x14ac:dyDescent="0.25"/>
    <row r="292" ht="14.1" customHeight="1" x14ac:dyDescent="0.25"/>
    <row r="293" ht="14.1" customHeight="1" x14ac:dyDescent="0.25"/>
    <row r="294" ht="14.1" customHeight="1" x14ac:dyDescent="0.25"/>
    <row r="295" ht="14.1" customHeight="1" x14ac:dyDescent="0.25"/>
    <row r="296" ht="14.1" customHeight="1" x14ac:dyDescent="0.25"/>
    <row r="297" ht="14.1" customHeight="1" x14ac:dyDescent="0.25"/>
    <row r="298" ht="14.1" customHeight="1" x14ac:dyDescent="0.25"/>
    <row r="299" ht="14.1" customHeight="1" x14ac:dyDescent="0.25"/>
    <row r="300" ht="14.1" customHeight="1" x14ac:dyDescent="0.25"/>
    <row r="301" ht="14.1" customHeight="1" x14ac:dyDescent="0.25"/>
    <row r="302" ht="14.1" customHeight="1" x14ac:dyDescent="0.25"/>
    <row r="303" ht="14.1" customHeight="1" x14ac:dyDescent="0.25"/>
    <row r="304" ht="14.1" customHeight="1" x14ac:dyDescent="0.25"/>
    <row r="305" ht="14.1" customHeight="1" x14ac:dyDescent="0.25"/>
    <row r="306" ht="14.1" customHeight="1" x14ac:dyDescent="0.25"/>
  </sheetData>
  <sheetProtection algorithmName="SHA-512" hashValue="TQ1G7t3G1YqxCkxDnTd2VlXj3wwqnzJXpDXPPc2/ORJm4AvY8Cljku3ujwQPG7yVzSn1Tn4N3y8MIoQZ41Z9HQ==" saltValue="b/YHlQTwnPK1p3VnS2pHuQ==" spinCount="100000" sheet="1" objects="1" scenarios="1"/>
  <mergeCells count="21">
    <mergeCell ref="G8:H8"/>
    <mergeCell ref="B2:H2"/>
    <mergeCell ref="G3:H4"/>
    <mergeCell ref="G5:H5"/>
    <mergeCell ref="G6:H6"/>
    <mergeCell ref="G7:H7"/>
    <mergeCell ref="B3:B4"/>
    <mergeCell ref="C3:F4"/>
    <mergeCell ref="C5:F5"/>
    <mergeCell ref="C6:F6"/>
    <mergeCell ref="C7:F7"/>
    <mergeCell ref="C8:F8"/>
    <mergeCell ref="G11:H11"/>
    <mergeCell ref="I13:J13"/>
    <mergeCell ref="B11:E11"/>
    <mergeCell ref="B20:E20"/>
    <mergeCell ref="G40:H40"/>
    <mergeCell ref="G28:H28"/>
    <mergeCell ref="B28:E28"/>
    <mergeCell ref="B40:E40"/>
    <mergeCell ref="G20:H20"/>
  </mergeCells>
  <conditionalFormatting sqref="H12">
    <cfRule type="cellIs" dxfId="785" priority="24" operator="greaterThan">
      <formula>0</formula>
    </cfRule>
    <cfRule type="cellIs" dxfId="784" priority="25" operator="lessThan">
      <formula>0</formula>
    </cfRule>
  </conditionalFormatting>
  <conditionalFormatting sqref="H22">
    <cfRule type="cellIs" dxfId="783" priority="18" operator="greaterThan">
      <formula>0</formula>
    </cfRule>
    <cfRule type="cellIs" dxfId="782" priority="21" operator="lessThan">
      <formula>0</formula>
    </cfRule>
  </conditionalFormatting>
  <conditionalFormatting sqref="H21">
    <cfRule type="cellIs" dxfId="781" priority="19" operator="greaterThan">
      <formula>0</formula>
    </cfRule>
    <cfRule type="cellIs" dxfId="780" priority="20" operator="lessThan">
      <formula>0</formula>
    </cfRule>
  </conditionalFormatting>
  <conditionalFormatting sqref="H29 H41:H42">
    <cfRule type="cellIs" dxfId="779" priority="16" operator="lessThan">
      <formula>0</formula>
    </cfRule>
    <cfRule type="cellIs" dxfId="778" priority="17" operator="greaterThan">
      <formula>0</formula>
    </cfRule>
  </conditionalFormatting>
  <conditionalFormatting sqref="G5:G8">
    <cfRule type="containsText" dxfId="777" priority="22" operator="containsText" text="Yes">
      <formula>NOT(ISERROR(SEARCH("Yes",G5)))</formula>
    </cfRule>
    <cfRule type="containsText" dxfId="776" priority="23" operator="containsText" text="No">
      <formula>NOT(ISERROR(SEARCH("No",G5)))</formula>
    </cfRule>
  </conditionalFormatting>
  <conditionalFormatting sqref="H30">
    <cfRule type="cellIs" dxfId="775" priority="15" operator="lessThan">
      <formula>0</formula>
    </cfRule>
  </conditionalFormatting>
  <conditionalFormatting sqref="I13:J13">
    <cfRule type="containsText" dxfId="774" priority="8" operator="containsText" text="Very high distinctiveness unit defecit - CHECK DATA">
      <formula>NOT(ISERROR(SEARCH("Very high distinctiveness unit defecit - CHECK DATA",I13)))</formula>
    </cfRule>
  </conditionalFormatting>
  <conditionalFormatting sqref="B32 B43">
    <cfRule type="expression" dxfId="773" priority="359">
      <formula>#REF!&gt;0</formula>
    </cfRule>
    <cfRule type="expression" dxfId="772" priority="360">
      <formula>#REF!&lt;0</formula>
    </cfRule>
  </conditionalFormatting>
  <conditionalFormatting sqref="B22:E22 B30:E31 B42:E42">
    <cfRule type="expression" dxfId="771" priority="367">
      <formula>$E22&gt;0</formula>
    </cfRule>
    <cfRule type="expression" dxfId="770" priority="368">
      <formula>$E22&lt;0</formula>
    </cfRule>
  </conditionalFormatting>
  <conditionalFormatting sqref="B13:E13">
    <cfRule type="expression" dxfId="769" priority="365">
      <formula>$E13&gt;0</formula>
    </cfRule>
    <cfRule type="expression" dxfId="768"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0695-3FEA-4B47-B255-91F5C4F76C25}">
  <sheetPr codeName="Sheet38">
    <tabColor rgb="FFF4D4D4"/>
  </sheetPr>
  <dimension ref="A1:AF749"/>
  <sheetViews>
    <sheetView showRowColHeaders="0" zoomScale="80" zoomScaleNormal="80" workbookViewId="0">
      <selection activeCell="B7" sqref="B7"/>
    </sheetView>
  </sheetViews>
  <sheetFormatPr defaultColWidth="8.77734375" defaultRowHeight="14.4" x14ac:dyDescent="0.3"/>
  <cols>
    <col min="1" max="1" width="8.77734375" style="757"/>
    <col min="2" max="2" width="10" style="1" customWidth="1"/>
    <col min="3" max="3" width="14.21875" style="1" customWidth="1"/>
    <col min="4" max="9" width="8.77734375" style="1"/>
    <col min="10" max="10" width="23.21875" style="1" customWidth="1"/>
    <col min="11" max="11" width="12.21875" style="1" customWidth="1"/>
    <col min="12" max="12" width="23.5546875" style="1" customWidth="1"/>
    <col min="13" max="13" width="8.77734375" style="757"/>
    <col min="14" max="14" width="11.44140625" style="1" customWidth="1"/>
    <col min="15" max="15" width="13.5546875" style="1" customWidth="1"/>
    <col min="16" max="16" width="14.5546875" style="1" customWidth="1"/>
    <col min="17" max="17" width="19.21875" style="1" customWidth="1"/>
    <col min="18" max="18" width="15.21875" style="1" customWidth="1"/>
    <col min="19" max="19" width="21.21875" style="1" customWidth="1"/>
    <col min="20" max="20" width="10.44140625" style="1" customWidth="1"/>
    <col min="21" max="21" width="24.44140625" style="1" customWidth="1"/>
    <col min="22" max="23" width="8.77734375" style="1"/>
    <col min="24" max="24" width="13.21875" style="1" customWidth="1"/>
    <col min="25" max="27" width="12.44140625" style="1" customWidth="1"/>
    <col min="28" max="28" width="26.44140625" style="1" customWidth="1"/>
    <col min="29" max="29" width="8.77734375" style="1"/>
    <col min="30" max="30" width="20.77734375" style="1" customWidth="1"/>
    <col min="31" max="31" width="8.77734375" style="1"/>
    <col min="32" max="32" width="11.21875" style="1" customWidth="1"/>
    <col min="33" max="16384" width="8.77734375" style="1"/>
  </cols>
  <sheetData>
    <row r="1" spans="1:32" ht="19.5" customHeight="1" x14ac:dyDescent="0.3"/>
    <row r="2" spans="1:32" ht="15" thickBot="1" x14ac:dyDescent="0.35"/>
    <row r="3" spans="1:32" ht="35.549999999999997" customHeight="1" x14ac:dyDescent="0.3">
      <c r="B3" s="1380" t="s">
        <v>249</v>
      </c>
      <c r="C3" s="1381"/>
      <c r="D3" s="1381"/>
      <c r="E3" s="1381"/>
      <c r="F3" s="1381"/>
      <c r="G3" s="1381"/>
      <c r="H3" s="1381"/>
      <c r="I3" s="1381"/>
      <c r="J3" s="1381"/>
      <c r="K3" s="1381"/>
      <c r="L3" s="1382"/>
      <c r="N3" s="1372" t="s">
        <v>250</v>
      </c>
      <c r="O3" s="1373"/>
      <c r="P3" s="1373"/>
      <c r="Q3" s="1373"/>
      <c r="R3" s="1373"/>
      <c r="S3" s="1373"/>
      <c r="T3" s="1373"/>
      <c r="U3" s="1374"/>
      <c r="W3" s="1354" t="s">
        <v>251</v>
      </c>
      <c r="X3" s="1355"/>
      <c r="Y3" s="1355"/>
      <c r="Z3" s="1355"/>
      <c r="AA3" s="1355"/>
      <c r="AB3" s="1355"/>
      <c r="AC3" s="1355"/>
      <c r="AD3" s="1356"/>
      <c r="AE3" s="679"/>
      <c r="AF3" s="679"/>
    </row>
    <row r="4" spans="1:32" ht="15" customHeight="1" thickBot="1" x14ac:dyDescent="0.35">
      <c r="B4" s="1383"/>
      <c r="C4" s="1384"/>
      <c r="D4" s="1384"/>
      <c r="E4" s="1384"/>
      <c r="F4" s="1384"/>
      <c r="G4" s="1384"/>
      <c r="H4" s="1384"/>
      <c r="I4" s="1384"/>
      <c r="J4" s="1384"/>
      <c r="K4" s="1384"/>
      <c r="L4" s="1385"/>
      <c r="N4" s="1375"/>
      <c r="O4" s="1376"/>
      <c r="P4" s="1376"/>
      <c r="Q4" s="1376"/>
      <c r="R4" s="1376"/>
      <c r="S4" s="1376"/>
      <c r="T4" s="1376"/>
      <c r="U4" s="1377"/>
      <c r="W4" s="1357"/>
      <c r="X4" s="1358"/>
      <c r="Y4" s="1358"/>
      <c r="Z4" s="1358"/>
      <c r="AA4" s="1358"/>
      <c r="AB4" s="1358"/>
      <c r="AC4" s="1358"/>
      <c r="AD4" s="1359"/>
      <c r="AE4" s="679"/>
      <c r="AF4" s="679"/>
    </row>
    <row r="5" spans="1:32" ht="14.55" customHeight="1" x14ac:dyDescent="0.3">
      <c r="B5" s="1386" t="s">
        <v>252</v>
      </c>
      <c r="C5" s="1386" t="s">
        <v>253</v>
      </c>
      <c r="D5" s="1388" t="s">
        <v>254</v>
      </c>
      <c r="E5" s="1389"/>
      <c r="F5" s="1388" t="s">
        <v>255</v>
      </c>
      <c r="G5" s="1389"/>
      <c r="H5" s="1388" t="s">
        <v>256</v>
      </c>
      <c r="I5" s="1389"/>
      <c r="J5" s="1388" t="s">
        <v>257</v>
      </c>
      <c r="K5" s="1395" t="s">
        <v>258</v>
      </c>
      <c r="L5" s="1393" t="s">
        <v>259</v>
      </c>
      <c r="N5" s="1400" t="s">
        <v>252</v>
      </c>
      <c r="O5" s="1386" t="s">
        <v>253</v>
      </c>
      <c r="P5" s="1395" t="s">
        <v>254</v>
      </c>
      <c r="Q5" s="1395" t="s">
        <v>255</v>
      </c>
      <c r="R5" s="1388" t="s">
        <v>256</v>
      </c>
      <c r="S5" s="1364" t="s">
        <v>257</v>
      </c>
      <c r="T5" s="1402" t="s">
        <v>260</v>
      </c>
      <c r="U5" s="1393" t="s">
        <v>259</v>
      </c>
      <c r="W5" s="1362" t="s">
        <v>252</v>
      </c>
      <c r="X5" s="1364" t="s">
        <v>253</v>
      </c>
      <c r="Y5" s="1364" t="s">
        <v>254</v>
      </c>
      <c r="Z5" s="1364" t="s">
        <v>255</v>
      </c>
      <c r="AA5" s="1364" t="s">
        <v>261</v>
      </c>
      <c r="AB5" s="1364" t="s">
        <v>257</v>
      </c>
      <c r="AC5" s="1364" t="s">
        <v>260</v>
      </c>
      <c r="AD5" s="1397" t="s">
        <v>259</v>
      </c>
      <c r="AF5" s="680"/>
    </row>
    <row r="6" spans="1:32" ht="15" thickBot="1" x14ac:dyDescent="0.35">
      <c r="B6" s="1387"/>
      <c r="C6" s="1387"/>
      <c r="D6" s="1390"/>
      <c r="E6" s="1391"/>
      <c r="F6" s="1390"/>
      <c r="G6" s="1391"/>
      <c r="H6" s="1390"/>
      <c r="I6" s="1391"/>
      <c r="J6" s="1392"/>
      <c r="K6" s="1396"/>
      <c r="L6" s="1394"/>
      <c r="N6" s="1401"/>
      <c r="O6" s="1399"/>
      <c r="P6" s="1396"/>
      <c r="Q6" s="1396"/>
      <c r="R6" s="1392"/>
      <c r="S6" s="1365"/>
      <c r="T6" s="1403"/>
      <c r="U6" s="1394"/>
      <c r="W6" s="1363"/>
      <c r="X6" s="1365"/>
      <c r="Y6" s="1365"/>
      <c r="Z6" s="1365"/>
      <c r="AA6" s="1365"/>
      <c r="AB6" s="1365"/>
      <c r="AC6" s="1365"/>
      <c r="AD6" s="1398"/>
      <c r="AF6" s="680"/>
    </row>
    <row r="7" spans="1:32" x14ac:dyDescent="0.3">
      <c r="A7" s="757">
        <f>'D-1 Off-Site Habitat Baseline'!AF11</f>
        <v>0</v>
      </c>
      <c r="B7" s="759" t="e" cm="1" vm="1">
        <f t="array" ref="B7">_xlfn.UNIQUE(_xlfn._xlws.FILTER(A7:A747,A7:A747&lt;&gt;0))</f>
        <v>#VALUE!</v>
      </c>
      <c r="C7" s="760">
        <f>SUMIF('D-1 Off-Site Habitat Baseline'!AF11:AF14,B7,'D-1 Off-Site Habitat Baseline'!T11:T14)</f>
        <v>0</v>
      </c>
      <c r="D7" s="1378">
        <f>SUMIF('D-1 Off-Site Habitat Baseline'!$AF$11:$AF$258,'Off-site gain site summary'!$B$7,'D-1 Off-Site Habitat Baseline'!$X$11:$X$258)</f>
        <v>0</v>
      </c>
      <c r="E7" s="1379"/>
      <c r="F7" s="1378">
        <f>SUMIF('D-3 Off-Site Habitat Enhancment'!$AU$12:$AU$258,'Off-site gain site summary'!B7,'D-3 Off-Site Habitat Enhancment'!$AQ$12:$AQ$258)</f>
        <v>0</v>
      </c>
      <c r="G7" s="1379"/>
      <c r="H7" s="1378">
        <f>SUMIF('D-2 Off-Site Habitat Creation'!$AF$11:$AF$256,'Off-site gain site summary'!B7,'D-2 Off-Site Habitat Creation'!$AB$11:$AB$256)</f>
        <v>0</v>
      </c>
      <c r="I7" s="1379"/>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v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v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x14ac:dyDescent="0.3">
      <c r="A8" s="757">
        <f>'D-1 Off-Site Habitat Baseline'!AF12</f>
        <v>0</v>
      </c>
      <c r="B8" s="764"/>
      <c r="C8" s="762">
        <f>SUMIF('D-1 Off-Site Habitat Baseline'!AF12:AF15,B8,'D-1 Off-Site Habitat Baseline'!T12:T15)</f>
        <v>0</v>
      </c>
      <c r="D8" s="1369">
        <f>SUMIF('D-1 Off-Site Habitat Baseline'!$AF$11:$AF$258,'Off-site gain site summary'!$B$7,'D-1 Off-Site Habitat Baseline'!$X$11:$X$258)</f>
        <v>0</v>
      </c>
      <c r="E8" s="1370"/>
      <c r="F8" s="1369">
        <f>SUMIF('D-3 Off-Site Habitat Enhancment'!$AU$12:$AU$258,'Off-site gain site summary'!B8,'D-3 Off-Site Habitat Enhancment'!$AQ$12:$AQ$258)</f>
        <v>0</v>
      </c>
      <c r="G8" s="1370"/>
      <c r="H8" s="1369">
        <f>SUMIF('D-2 Off-Site Habitat Creation'!$AF$11:$AF$256,'Off-site gain site summary'!B8,'D-2 Off-Site Habitat Creation'!$AB$11:$AB$256)</f>
        <v>0</v>
      </c>
      <c r="I8" s="1370"/>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71"/>
      <c r="AF8" s="1371"/>
    </row>
    <row r="9" spans="1:32" x14ac:dyDescent="0.3">
      <c r="A9" s="757">
        <f>'D-1 Off-Site Habitat Baseline'!AF13</f>
        <v>0</v>
      </c>
      <c r="B9" s="764"/>
      <c r="C9" s="762">
        <f>SUMIF('D-1 Off-Site Habitat Baseline'!AF13:AF16,B9,'D-1 Off-Site Habitat Baseline'!T13:T16)</f>
        <v>0</v>
      </c>
      <c r="D9" s="1369">
        <f>SUMIF('D-1 Off-Site Habitat Baseline'!$AF$11:$AF$258,'Off-site gain site summary'!$B$7,'D-1 Off-Site Habitat Baseline'!$X$11:$X$258)</f>
        <v>0</v>
      </c>
      <c r="E9" s="1370"/>
      <c r="F9" s="1369">
        <f>SUMIF('D-3 Off-Site Habitat Enhancment'!$AU$12:$AU$258,'Off-site gain site summary'!B9,'D-3 Off-Site Habitat Enhancment'!$AQ$12:$AQ$258)</f>
        <v>0</v>
      </c>
      <c r="G9" s="1370"/>
      <c r="H9" s="1369">
        <f>SUMIF('D-2 Off-Site Habitat Creation'!$AF$11:$AF$256,'Off-site gain site summary'!B9,'D-2 Off-Site Habitat Creation'!$AB$11:$AB$256)</f>
        <v>0</v>
      </c>
      <c r="I9" s="1370"/>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71"/>
      <c r="AF9" s="1371"/>
    </row>
    <row r="10" spans="1:32" x14ac:dyDescent="0.3">
      <c r="A10" s="757">
        <f>'D-1 Off-Site Habitat Baseline'!AF14</f>
        <v>0</v>
      </c>
      <c r="B10" s="764"/>
      <c r="C10" s="762">
        <f>SUMIF('D-1 Off-Site Habitat Baseline'!AF14:AF17,B10,'D-1 Off-Site Habitat Baseline'!T14:T17)</f>
        <v>0</v>
      </c>
      <c r="D10" s="1369">
        <f>SUMIF('D-1 Off-Site Habitat Baseline'!$AF$11:$AF$258,'Off-site gain site summary'!$B$7,'D-1 Off-Site Habitat Baseline'!$X$11:$X$258)</f>
        <v>0</v>
      </c>
      <c r="E10" s="1370"/>
      <c r="F10" s="1369">
        <f>SUMIF('D-3 Off-Site Habitat Enhancment'!$AU$12:$AU$258,'Off-site gain site summary'!B10,'D-3 Off-Site Habitat Enhancment'!$AQ$12:$AQ$258)</f>
        <v>0</v>
      </c>
      <c r="G10" s="1370"/>
      <c r="H10" s="1369">
        <f>SUMIF('D-2 Off-Site Habitat Creation'!$AF$11:$AF$256,'Off-site gain site summary'!B10,'D-2 Off-Site Habitat Creation'!$AB$11:$AB$256)</f>
        <v>0</v>
      </c>
      <c r="I10" s="1370"/>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71"/>
      <c r="AF10" s="1371"/>
    </row>
    <row r="11" spans="1:32" x14ac:dyDescent="0.3">
      <c r="A11" s="757">
        <f>'D-1 Off-Site Habitat Baseline'!AF15</f>
        <v>0</v>
      </c>
      <c r="B11" s="764"/>
      <c r="C11" s="762">
        <f>SUMIF('D-1 Off-Site Habitat Baseline'!AF15:AF18,B11,'D-1 Off-Site Habitat Baseline'!T15:T18)</f>
        <v>0</v>
      </c>
      <c r="D11" s="1369">
        <f>SUMIF('D-1 Off-Site Habitat Baseline'!$AF$11:$AF$258,'Off-site gain site summary'!$B$7,'D-1 Off-Site Habitat Baseline'!$X$11:$X$258)</f>
        <v>0</v>
      </c>
      <c r="E11" s="1370"/>
      <c r="F11" s="1369">
        <f>SUMIF('D-3 Off-Site Habitat Enhancment'!$AU$12:$AU$258,'Off-site gain site summary'!B11,'D-3 Off-Site Habitat Enhancment'!$AQ$12:$AQ$258)</f>
        <v>0</v>
      </c>
      <c r="G11" s="1370"/>
      <c r="H11" s="1369">
        <f>SUMIF('D-2 Off-Site Habitat Creation'!$AF$11:$AF$256,'Off-site gain site summary'!B11,'D-2 Off-Site Habitat Creation'!$AB$11:$AB$256)</f>
        <v>0</v>
      </c>
      <c r="I11" s="1370"/>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71"/>
      <c r="AF11" s="1371"/>
    </row>
    <row r="12" spans="1:32" x14ac:dyDescent="0.3">
      <c r="A12" s="757">
        <f>'D-1 Off-Site Habitat Baseline'!AF16</f>
        <v>0</v>
      </c>
      <c r="B12" s="764"/>
      <c r="C12" s="762">
        <f>SUMIF('D-1 Off-Site Habitat Baseline'!AF16:AF19,B12,'D-1 Off-Site Habitat Baseline'!T16:T19)</f>
        <v>0</v>
      </c>
      <c r="D12" s="1369">
        <f>SUMIF('D-1 Off-Site Habitat Baseline'!$AF$11:$AF$258,'Off-site gain site summary'!$B$7,'D-1 Off-Site Habitat Baseline'!$X$11:$X$258)</f>
        <v>0</v>
      </c>
      <c r="E12" s="1370"/>
      <c r="F12" s="1369">
        <f>SUMIF('D-3 Off-Site Habitat Enhancment'!$AU$12:$AU$258,'Off-site gain site summary'!B12,'D-3 Off-Site Habitat Enhancment'!$AQ$12:$AQ$258)</f>
        <v>0</v>
      </c>
      <c r="G12" s="1370"/>
      <c r="H12" s="1369">
        <f>SUMIF('D-2 Off-Site Habitat Creation'!$AF$11:$AF$256,'Off-site gain site summary'!B12,'D-2 Off-Site Habitat Creation'!$AB$11:$AB$256)</f>
        <v>0</v>
      </c>
      <c r="I12" s="1370"/>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71"/>
      <c r="AF12" s="1371"/>
    </row>
    <row r="13" spans="1:32" x14ac:dyDescent="0.3">
      <c r="A13" s="757">
        <f>'D-1 Off-Site Habitat Baseline'!AF17</f>
        <v>0</v>
      </c>
      <c r="B13" s="764"/>
      <c r="C13" s="762">
        <f>SUMIF('D-1 Off-Site Habitat Baseline'!AF17:AF20,B13,'D-1 Off-Site Habitat Baseline'!T17:T20)</f>
        <v>0</v>
      </c>
      <c r="D13" s="1369">
        <f>SUMIF('D-1 Off-Site Habitat Baseline'!$AF$11:$AF$258,'Off-site gain site summary'!$B$7,'D-1 Off-Site Habitat Baseline'!$X$11:$X$258)</f>
        <v>0</v>
      </c>
      <c r="E13" s="1370"/>
      <c r="F13" s="1369">
        <f>SUMIF('D-3 Off-Site Habitat Enhancment'!$AU$12:$AU$258,'Off-site gain site summary'!B13,'D-3 Off-Site Habitat Enhancment'!$AQ$12:$AQ$258)</f>
        <v>0</v>
      </c>
      <c r="G13" s="1370"/>
      <c r="H13" s="1369">
        <f>SUMIF('D-2 Off-Site Habitat Creation'!$AF$11:$AF$256,'Off-site gain site summary'!B13,'D-2 Off-Site Habitat Creation'!$AB$11:$AB$256)</f>
        <v>0</v>
      </c>
      <c r="I13" s="1370"/>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71"/>
      <c r="AF13" s="1371"/>
    </row>
    <row r="14" spans="1:32" x14ac:dyDescent="0.3">
      <c r="A14" s="757">
        <f>'D-1 Off-Site Habitat Baseline'!AF18</f>
        <v>0</v>
      </c>
      <c r="B14" s="764"/>
      <c r="C14" s="762">
        <f>SUMIF('D-1 Off-Site Habitat Baseline'!AF18:AF21,B14,'D-1 Off-Site Habitat Baseline'!T18:T21)</f>
        <v>0</v>
      </c>
      <c r="D14" s="1369">
        <f>SUMIF('D-1 Off-Site Habitat Baseline'!$AF$11:$AF$258,'Off-site gain site summary'!$B$7,'D-1 Off-Site Habitat Baseline'!$X$11:$X$258)</f>
        <v>0</v>
      </c>
      <c r="E14" s="1370"/>
      <c r="F14" s="1369">
        <f>SUMIF('D-3 Off-Site Habitat Enhancment'!$AU$12:$AU$258,'Off-site gain site summary'!B14,'D-3 Off-Site Habitat Enhancment'!$AQ$12:$AQ$258)</f>
        <v>0</v>
      </c>
      <c r="G14" s="1370"/>
      <c r="H14" s="1369">
        <f>SUMIF('D-2 Off-Site Habitat Creation'!$AF$11:$AF$256,'Off-site gain site summary'!B14,'D-2 Off-Site Habitat Creation'!$AB$11:$AB$256)</f>
        <v>0</v>
      </c>
      <c r="I14" s="1370"/>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71"/>
      <c r="AF14" s="1371"/>
    </row>
    <row r="15" spans="1:32" x14ac:dyDescent="0.3">
      <c r="A15" s="757">
        <f>'D-1 Off-Site Habitat Baseline'!AF19</f>
        <v>0</v>
      </c>
      <c r="B15" s="764"/>
      <c r="C15" s="762">
        <f>SUMIF('D-1 Off-Site Habitat Baseline'!AF19:AF22,B15,'D-1 Off-Site Habitat Baseline'!T19:T22)</f>
        <v>0</v>
      </c>
      <c r="D15" s="1369">
        <f>SUMIF('D-1 Off-Site Habitat Baseline'!$AF$11:$AF$258,'Off-site gain site summary'!$B$7,'D-1 Off-Site Habitat Baseline'!$X$11:$X$258)</f>
        <v>0</v>
      </c>
      <c r="E15" s="1370"/>
      <c r="F15" s="1369">
        <f>SUMIF('D-3 Off-Site Habitat Enhancment'!$AU$12:$AU$258,'Off-site gain site summary'!B15,'D-3 Off-Site Habitat Enhancment'!$AQ$12:$AQ$258)</f>
        <v>0</v>
      </c>
      <c r="G15" s="1370"/>
      <c r="H15" s="1369">
        <f>SUMIF('D-2 Off-Site Habitat Creation'!$AF$11:$AF$256,'Off-site gain site summary'!B15,'D-2 Off-Site Habitat Creation'!$AB$11:$AB$256)</f>
        <v>0</v>
      </c>
      <c r="I15" s="1370"/>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71"/>
      <c r="AF15" s="1371"/>
    </row>
    <row r="16" spans="1:32" x14ac:dyDescent="0.3">
      <c r="A16" s="757">
        <f>'D-1 Off-Site Habitat Baseline'!AF20</f>
        <v>0</v>
      </c>
      <c r="B16" s="764"/>
      <c r="C16" s="762">
        <f>SUMIF('D-1 Off-Site Habitat Baseline'!AF20:AF23,B16,'D-1 Off-Site Habitat Baseline'!T20:T23)</f>
        <v>0</v>
      </c>
      <c r="D16" s="1369">
        <f>SUMIF('D-1 Off-Site Habitat Baseline'!$AF$11:$AF$258,'Off-site gain site summary'!$B$7,'D-1 Off-Site Habitat Baseline'!$X$11:$X$258)</f>
        <v>0</v>
      </c>
      <c r="E16" s="1370"/>
      <c r="F16" s="1369">
        <f>SUMIF('D-3 Off-Site Habitat Enhancment'!$AU$12:$AU$258,'Off-site gain site summary'!B16,'D-3 Off-Site Habitat Enhancment'!$AQ$12:$AQ$258)</f>
        <v>0</v>
      </c>
      <c r="G16" s="1370"/>
      <c r="H16" s="1369">
        <f>SUMIF('D-2 Off-Site Habitat Creation'!$AF$11:$AF$256,'Off-site gain site summary'!B16,'D-2 Off-Site Habitat Creation'!$AB$11:$AB$256)</f>
        <v>0</v>
      </c>
      <c r="I16" s="1370"/>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71"/>
      <c r="AF16" s="1371"/>
    </row>
    <row r="17" spans="1:32" x14ac:dyDescent="0.3">
      <c r="A17" s="757">
        <f>'D-1 Off-Site Habitat Baseline'!AF21</f>
        <v>0</v>
      </c>
      <c r="B17" s="764"/>
      <c r="C17" s="762">
        <f>SUMIF('D-1 Off-Site Habitat Baseline'!AF21:AF24,B17,'D-1 Off-Site Habitat Baseline'!T21:T24)</f>
        <v>0</v>
      </c>
      <c r="D17" s="1369">
        <f>SUMIF('D-1 Off-Site Habitat Baseline'!$AF$11:$AF$258,'Off-site gain site summary'!$B$7,'D-1 Off-Site Habitat Baseline'!$X$11:$X$258)</f>
        <v>0</v>
      </c>
      <c r="E17" s="1370"/>
      <c r="F17" s="1369">
        <f>SUMIF('D-3 Off-Site Habitat Enhancment'!$AU$12:$AU$258,'Off-site gain site summary'!B17,'D-3 Off-Site Habitat Enhancment'!$AQ$12:$AQ$258)</f>
        <v>0</v>
      </c>
      <c r="G17" s="1370"/>
      <c r="H17" s="1369">
        <f>SUMIF('D-2 Off-Site Habitat Creation'!$AF$11:$AF$256,'Off-site gain site summary'!B17,'D-2 Off-Site Habitat Creation'!$AB$11:$AB$256)</f>
        <v>0</v>
      </c>
      <c r="I17" s="1370"/>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71"/>
      <c r="AF17" s="1371"/>
    </row>
    <row r="18" spans="1:32" x14ac:dyDescent="0.3">
      <c r="A18" s="757">
        <f>'D-1 Off-Site Habitat Baseline'!AF22</f>
        <v>0</v>
      </c>
      <c r="B18" s="764"/>
      <c r="C18" s="762">
        <f>SUMIF('D-1 Off-Site Habitat Baseline'!AF22:AF25,B18,'D-1 Off-Site Habitat Baseline'!T22:T25)</f>
        <v>0</v>
      </c>
      <c r="D18" s="1369">
        <f>SUMIF('D-1 Off-Site Habitat Baseline'!$AF$11:$AF$258,'Off-site gain site summary'!$B$7,'D-1 Off-Site Habitat Baseline'!$X$11:$X$258)</f>
        <v>0</v>
      </c>
      <c r="E18" s="1370"/>
      <c r="F18" s="1369">
        <f>SUMIF('D-3 Off-Site Habitat Enhancment'!$AU$12:$AU$258,'Off-site gain site summary'!B18,'D-3 Off-Site Habitat Enhancment'!$AQ$12:$AQ$258)</f>
        <v>0</v>
      </c>
      <c r="G18" s="1370"/>
      <c r="H18" s="1369">
        <f>SUMIF('D-2 Off-Site Habitat Creation'!$AF$11:$AF$256,'Off-site gain site summary'!B18,'D-2 Off-Site Habitat Creation'!$AB$11:$AB$256)</f>
        <v>0</v>
      </c>
      <c r="I18" s="1370"/>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71"/>
      <c r="AF18" s="1371"/>
    </row>
    <row r="19" spans="1:32" x14ac:dyDescent="0.3">
      <c r="A19" s="757">
        <f>'D-1 Off-Site Habitat Baseline'!AF23</f>
        <v>0</v>
      </c>
      <c r="B19" s="764"/>
      <c r="C19" s="762">
        <f>SUMIF('D-1 Off-Site Habitat Baseline'!AF23:AF26,B19,'D-1 Off-Site Habitat Baseline'!T23:T26)</f>
        <v>0</v>
      </c>
      <c r="D19" s="1369">
        <f>SUMIF('D-1 Off-Site Habitat Baseline'!$AF$11:$AF$258,'Off-site gain site summary'!$B$7,'D-1 Off-Site Habitat Baseline'!$X$11:$X$258)</f>
        <v>0</v>
      </c>
      <c r="E19" s="1370"/>
      <c r="F19" s="1369">
        <f>SUMIF('D-3 Off-Site Habitat Enhancment'!$AU$12:$AU$258,'Off-site gain site summary'!B19,'D-3 Off-Site Habitat Enhancment'!$AQ$12:$AQ$258)</f>
        <v>0</v>
      </c>
      <c r="G19" s="1370"/>
      <c r="H19" s="1369">
        <f>SUMIF('D-2 Off-Site Habitat Creation'!$AF$11:$AF$256,'Off-site gain site summary'!B19,'D-2 Off-Site Habitat Creation'!$AB$11:$AB$256)</f>
        <v>0</v>
      </c>
      <c r="I19" s="1370"/>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71"/>
      <c r="AF19" s="1371"/>
    </row>
    <row r="20" spans="1:32" x14ac:dyDescent="0.3">
      <c r="A20" s="757">
        <f>'D-1 Off-Site Habitat Baseline'!AF24</f>
        <v>0</v>
      </c>
      <c r="B20" s="764"/>
      <c r="C20" s="762">
        <f>SUMIF('D-1 Off-Site Habitat Baseline'!AF24:AF27,B20,'D-1 Off-Site Habitat Baseline'!T24:T27)</f>
        <v>0</v>
      </c>
      <c r="D20" s="1369">
        <f>SUMIF('D-1 Off-Site Habitat Baseline'!$AF$11:$AF$258,'Off-site gain site summary'!$B$7,'D-1 Off-Site Habitat Baseline'!$X$11:$X$258)</f>
        <v>0</v>
      </c>
      <c r="E20" s="1370"/>
      <c r="F20" s="1369">
        <f>SUMIF('D-3 Off-Site Habitat Enhancment'!$AU$12:$AU$258,'Off-site gain site summary'!B20,'D-3 Off-Site Habitat Enhancment'!$AQ$12:$AQ$258)</f>
        <v>0</v>
      </c>
      <c r="G20" s="1370"/>
      <c r="H20" s="1369">
        <f>SUMIF('D-2 Off-Site Habitat Creation'!$AF$11:$AF$256,'Off-site gain site summary'!B20,'D-2 Off-Site Habitat Creation'!$AB$11:$AB$256)</f>
        <v>0</v>
      </c>
      <c r="I20" s="1370"/>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71"/>
      <c r="AF20" s="1371"/>
    </row>
    <row r="21" spans="1:32" x14ac:dyDescent="0.3">
      <c r="A21" s="757">
        <f>'D-1 Off-Site Habitat Baseline'!AF25</f>
        <v>0</v>
      </c>
      <c r="B21" s="764"/>
      <c r="C21" s="762">
        <f>SUMIF('D-1 Off-Site Habitat Baseline'!AF25:AF28,B21,'D-1 Off-Site Habitat Baseline'!T25:T28)</f>
        <v>0</v>
      </c>
      <c r="D21" s="1369">
        <f>SUMIF('D-1 Off-Site Habitat Baseline'!$AF$11:$AF$258,'Off-site gain site summary'!$B$7,'D-1 Off-Site Habitat Baseline'!$X$11:$X$258)</f>
        <v>0</v>
      </c>
      <c r="E21" s="1370"/>
      <c r="F21" s="1369">
        <f>SUMIF('D-3 Off-Site Habitat Enhancment'!$AU$12:$AU$258,'Off-site gain site summary'!B21,'D-3 Off-Site Habitat Enhancment'!$AQ$12:$AQ$258)</f>
        <v>0</v>
      </c>
      <c r="G21" s="1370"/>
      <c r="H21" s="1369">
        <f>SUMIF('D-2 Off-Site Habitat Creation'!$AF$11:$AF$256,'Off-site gain site summary'!B21,'D-2 Off-Site Habitat Creation'!$AB$11:$AB$256)</f>
        <v>0</v>
      </c>
      <c r="I21" s="1370"/>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71"/>
      <c r="AF21" s="1371"/>
    </row>
    <row r="22" spans="1:32" x14ac:dyDescent="0.3">
      <c r="A22" s="757">
        <f>'D-1 Off-Site Habitat Baseline'!AF26</f>
        <v>0</v>
      </c>
      <c r="B22" s="764"/>
      <c r="C22" s="762">
        <f>SUMIF('D-1 Off-Site Habitat Baseline'!AF26:AF29,B22,'D-1 Off-Site Habitat Baseline'!T26:T29)</f>
        <v>0</v>
      </c>
      <c r="D22" s="1369">
        <f>SUMIF('D-1 Off-Site Habitat Baseline'!$AF$11:$AF$258,'Off-site gain site summary'!$B$7,'D-1 Off-Site Habitat Baseline'!$X$11:$X$258)</f>
        <v>0</v>
      </c>
      <c r="E22" s="1370"/>
      <c r="F22" s="1369">
        <f>SUMIF('D-3 Off-Site Habitat Enhancment'!$AU$12:$AU$258,'Off-site gain site summary'!B22,'D-3 Off-Site Habitat Enhancment'!$AQ$12:$AQ$258)</f>
        <v>0</v>
      </c>
      <c r="G22" s="1370"/>
      <c r="H22" s="1369">
        <f>SUMIF('D-2 Off-Site Habitat Creation'!$AF$11:$AF$256,'Off-site gain site summary'!B22,'D-2 Off-Site Habitat Creation'!$AB$11:$AB$256)</f>
        <v>0</v>
      </c>
      <c r="I22" s="1370"/>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71"/>
      <c r="AF22" s="1371"/>
    </row>
    <row r="23" spans="1:32" x14ac:dyDescent="0.3">
      <c r="A23" s="757">
        <f>'D-1 Off-Site Habitat Baseline'!AF27</f>
        <v>0</v>
      </c>
      <c r="B23" s="764"/>
      <c r="C23" s="762">
        <f>SUMIF('D-1 Off-Site Habitat Baseline'!AF27:AF30,B23,'D-1 Off-Site Habitat Baseline'!T27:T30)</f>
        <v>0</v>
      </c>
      <c r="D23" s="1369">
        <f>SUMIF('D-1 Off-Site Habitat Baseline'!$AF$11:$AF$258,'Off-site gain site summary'!$B$7,'D-1 Off-Site Habitat Baseline'!$X$11:$X$258)</f>
        <v>0</v>
      </c>
      <c r="E23" s="1370"/>
      <c r="F23" s="1369">
        <f>SUMIF('D-3 Off-Site Habitat Enhancment'!$AU$12:$AU$258,'Off-site gain site summary'!B23,'D-3 Off-Site Habitat Enhancment'!$AQ$12:$AQ$258)</f>
        <v>0</v>
      </c>
      <c r="G23" s="1370"/>
      <c r="H23" s="1369">
        <f>SUMIF('D-2 Off-Site Habitat Creation'!$AF$11:$AF$256,'Off-site gain site summary'!B23,'D-2 Off-Site Habitat Creation'!$AB$11:$AB$256)</f>
        <v>0</v>
      </c>
      <c r="I23" s="1370"/>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71"/>
      <c r="AF23" s="1371"/>
    </row>
    <row r="24" spans="1:32" x14ac:dyDescent="0.3">
      <c r="A24" s="757">
        <f>'D-1 Off-Site Habitat Baseline'!AF28</f>
        <v>0</v>
      </c>
      <c r="B24" s="764"/>
      <c r="C24" s="762">
        <f>SUMIF('D-1 Off-Site Habitat Baseline'!AF28:AF31,B24,'D-1 Off-Site Habitat Baseline'!T28:T31)</f>
        <v>0</v>
      </c>
      <c r="D24" s="1369">
        <f>SUMIF('D-1 Off-Site Habitat Baseline'!$AF$11:$AF$258,'Off-site gain site summary'!$B$7,'D-1 Off-Site Habitat Baseline'!$X$11:$X$258)</f>
        <v>0</v>
      </c>
      <c r="E24" s="1370"/>
      <c r="F24" s="1369">
        <f>SUMIF('D-3 Off-Site Habitat Enhancment'!$AU$12:$AU$258,'Off-site gain site summary'!B24,'D-3 Off-Site Habitat Enhancment'!$AQ$12:$AQ$258)</f>
        <v>0</v>
      </c>
      <c r="G24" s="1370"/>
      <c r="H24" s="1369">
        <f>SUMIF('D-2 Off-Site Habitat Creation'!$AF$11:$AF$256,'Off-site gain site summary'!B24,'D-2 Off-Site Habitat Creation'!$AB$11:$AB$256)</f>
        <v>0</v>
      </c>
      <c r="I24" s="1370"/>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71"/>
      <c r="AF24" s="1371"/>
    </row>
    <row r="25" spans="1:32" x14ac:dyDescent="0.3">
      <c r="A25" s="757">
        <f>'D-1 Off-Site Habitat Baseline'!AF29</f>
        <v>0</v>
      </c>
      <c r="B25" s="764"/>
      <c r="C25" s="762">
        <f>SUMIF('D-1 Off-Site Habitat Baseline'!AF29:AF32,B25,'D-1 Off-Site Habitat Baseline'!T29:T32)</f>
        <v>0</v>
      </c>
      <c r="D25" s="1369">
        <f>SUMIF('D-1 Off-Site Habitat Baseline'!$AF$11:$AF$258,'Off-site gain site summary'!$B$7,'D-1 Off-Site Habitat Baseline'!$X$11:$X$258)</f>
        <v>0</v>
      </c>
      <c r="E25" s="1370"/>
      <c r="F25" s="1369">
        <f>SUMIF('D-3 Off-Site Habitat Enhancment'!$AU$12:$AU$258,'Off-site gain site summary'!B25,'D-3 Off-Site Habitat Enhancment'!$AQ$12:$AQ$258)</f>
        <v>0</v>
      </c>
      <c r="G25" s="1370"/>
      <c r="H25" s="1369">
        <f>SUMIF('D-2 Off-Site Habitat Creation'!$AF$11:$AF$256,'Off-site gain site summary'!B25,'D-2 Off-Site Habitat Creation'!$AB$11:$AB$256)</f>
        <v>0</v>
      </c>
      <c r="I25" s="1370"/>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71"/>
      <c r="AF25" s="1371"/>
    </row>
    <row r="26" spans="1:32" x14ac:dyDescent="0.3">
      <c r="A26" s="757">
        <f>'D-1 Off-Site Habitat Baseline'!AF30</f>
        <v>0</v>
      </c>
      <c r="B26" s="764"/>
      <c r="C26" s="762">
        <f>SUMIF('D-1 Off-Site Habitat Baseline'!AF30:AF33,B26,'D-1 Off-Site Habitat Baseline'!T30:T33)</f>
        <v>0</v>
      </c>
      <c r="D26" s="1369">
        <f>SUMIF('D-1 Off-Site Habitat Baseline'!$AF$11:$AF$258,'Off-site gain site summary'!$B$7,'D-1 Off-Site Habitat Baseline'!$X$11:$X$258)</f>
        <v>0</v>
      </c>
      <c r="E26" s="1370"/>
      <c r="F26" s="1369">
        <f>SUMIF('D-3 Off-Site Habitat Enhancment'!$AU$12:$AU$258,'Off-site gain site summary'!B26,'D-3 Off-Site Habitat Enhancment'!$AQ$12:$AQ$258)</f>
        <v>0</v>
      </c>
      <c r="G26" s="1370"/>
      <c r="H26" s="1369">
        <f>SUMIF('D-2 Off-Site Habitat Creation'!$AF$11:$AF$256,'Off-site gain site summary'!B26,'D-2 Off-Site Habitat Creation'!$AB$11:$AB$256)</f>
        <v>0</v>
      </c>
      <c r="I26" s="1370"/>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71"/>
      <c r="AF26" s="1371"/>
    </row>
    <row r="27" spans="1:32" x14ac:dyDescent="0.3">
      <c r="A27" s="757">
        <f>'D-1 Off-Site Habitat Baseline'!AF31</f>
        <v>0</v>
      </c>
      <c r="B27" s="764"/>
      <c r="C27" s="762">
        <f>SUMIF('D-1 Off-Site Habitat Baseline'!AF31:AF34,B27,'D-1 Off-Site Habitat Baseline'!T31:T34)</f>
        <v>0</v>
      </c>
      <c r="D27" s="1369">
        <f>SUMIF('D-1 Off-Site Habitat Baseline'!$AF$11:$AF$258,'Off-site gain site summary'!$B$7,'D-1 Off-Site Habitat Baseline'!$X$11:$X$258)</f>
        <v>0</v>
      </c>
      <c r="E27" s="1370"/>
      <c r="F27" s="1369">
        <f>SUMIF('D-3 Off-Site Habitat Enhancment'!$AU$12:$AU$258,'Off-site gain site summary'!B27,'D-3 Off-Site Habitat Enhancment'!$AQ$12:$AQ$258)</f>
        <v>0</v>
      </c>
      <c r="G27" s="1370"/>
      <c r="H27" s="1369">
        <f>SUMIF('D-2 Off-Site Habitat Creation'!$AF$11:$AF$256,'Off-site gain site summary'!B27,'D-2 Off-Site Habitat Creation'!$AB$11:$AB$256)</f>
        <v>0</v>
      </c>
      <c r="I27" s="1370"/>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71"/>
      <c r="AF27" s="1371"/>
    </row>
    <row r="28" spans="1:32" x14ac:dyDescent="0.3">
      <c r="A28" s="757">
        <f>'D-1 Off-Site Habitat Baseline'!AF32</f>
        <v>0</v>
      </c>
      <c r="B28" s="764"/>
      <c r="C28" s="762">
        <f>SUMIF('D-1 Off-Site Habitat Baseline'!AF32:AF35,B28,'D-1 Off-Site Habitat Baseline'!T32:T35)</f>
        <v>0</v>
      </c>
      <c r="D28" s="1369">
        <f>SUMIF('D-1 Off-Site Habitat Baseline'!$AF$11:$AF$258,'Off-site gain site summary'!$B$7,'D-1 Off-Site Habitat Baseline'!$X$11:$X$258)</f>
        <v>0</v>
      </c>
      <c r="E28" s="1370"/>
      <c r="F28" s="1369">
        <f>SUMIF('D-3 Off-Site Habitat Enhancment'!$AU$12:$AU$258,'Off-site gain site summary'!B28,'D-3 Off-Site Habitat Enhancment'!$AQ$12:$AQ$258)</f>
        <v>0</v>
      </c>
      <c r="G28" s="1370"/>
      <c r="H28" s="1369">
        <f>SUMIF('D-2 Off-Site Habitat Creation'!$AF$11:$AF$256,'Off-site gain site summary'!B28,'D-2 Off-Site Habitat Creation'!$AB$11:$AB$256)</f>
        <v>0</v>
      </c>
      <c r="I28" s="1370"/>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71"/>
      <c r="AF28" s="1371"/>
    </row>
    <row r="29" spans="1:32" x14ac:dyDescent="0.3">
      <c r="A29" s="757">
        <f>'D-1 Off-Site Habitat Baseline'!AF33</f>
        <v>0</v>
      </c>
      <c r="B29" s="764"/>
      <c r="C29" s="762">
        <f>SUMIF('D-1 Off-Site Habitat Baseline'!AF33:AF36,B29,'D-1 Off-Site Habitat Baseline'!T33:T36)</f>
        <v>0</v>
      </c>
      <c r="D29" s="1369">
        <f>SUMIF('D-1 Off-Site Habitat Baseline'!$AF$11:$AF$258,'Off-site gain site summary'!$B$7,'D-1 Off-Site Habitat Baseline'!$X$11:$X$258)</f>
        <v>0</v>
      </c>
      <c r="E29" s="1370"/>
      <c r="F29" s="1369">
        <f>SUMIF('D-3 Off-Site Habitat Enhancment'!$AU$12:$AU$258,'Off-site gain site summary'!B29,'D-3 Off-Site Habitat Enhancment'!$AQ$12:$AQ$258)</f>
        <v>0</v>
      </c>
      <c r="G29" s="1370"/>
      <c r="H29" s="1369">
        <f>SUMIF('D-2 Off-Site Habitat Creation'!$AF$11:$AF$256,'Off-site gain site summary'!B29,'D-2 Off-Site Habitat Creation'!$AB$11:$AB$256)</f>
        <v>0</v>
      </c>
      <c r="I29" s="1370"/>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71"/>
      <c r="AF29" s="1371"/>
    </row>
    <row r="30" spans="1:32" x14ac:dyDescent="0.3">
      <c r="A30" s="757">
        <f>'D-1 Off-Site Habitat Baseline'!AF34</f>
        <v>0</v>
      </c>
      <c r="B30" s="764"/>
      <c r="C30" s="762">
        <f>SUMIF('D-1 Off-Site Habitat Baseline'!AF34:AF37,B30,'D-1 Off-Site Habitat Baseline'!T34:T37)</f>
        <v>0</v>
      </c>
      <c r="D30" s="1369">
        <f>SUMIF('D-1 Off-Site Habitat Baseline'!$AF$11:$AF$258,'Off-site gain site summary'!$B$7,'D-1 Off-Site Habitat Baseline'!$X$11:$X$258)</f>
        <v>0</v>
      </c>
      <c r="E30" s="1370"/>
      <c r="F30" s="1369">
        <f>SUMIF('D-3 Off-Site Habitat Enhancment'!$AU$12:$AU$258,'Off-site gain site summary'!B30,'D-3 Off-Site Habitat Enhancment'!$AQ$12:$AQ$258)</f>
        <v>0</v>
      </c>
      <c r="G30" s="1370"/>
      <c r="H30" s="1369">
        <f>SUMIF('D-2 Off-Site Habitat Creation'!$AF$11:$AF$256,'Off-site gain site summary'!B30,'D-2 Off-Site Habitat Creation'!$AB$11:$AB$256)</f>
        <v>0</v>
      </c>
      <c r="I30" s="1370"/>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71"/>
      <c r="AF30" s="1371"/>
    </row>
    <row r="31" spans="1:32" x14ac:dyDescent="0.3">
      <c r="A31" s="757">
        <f>'D-1 Off-Site Habitat Baseline'!AF35</f>
        <v>0</v>
      </c>
      <c r="B31" s="764"/>
      <c r="C31" s="762">
        <f>SUMIF('D-1 Off-Site Habitat Baseline'!AF35:AF38,B31,'D-1 Off-Site Habitat Baseline'!T35:T38)</f>
        <v>0</v>
      </c>
      <c r="D31" s="1369">
        <f>SUMIF('D-1 Off-Site Habitat Baseline'!$AF$11:$AF$258,'Off-site gain site summary'!$B$7,'D-1 Off-Site Habitat Baseline'!$X$11:$X$258)</f>
        <v>0</v>
      </c>
      <c r="E31" s="1370"/>
      <c r="F31" s="1369">
        <f>SUMIF('D-3 Off-Site Habitat Enhancment'!$AU$12:$AU$258,'Off-site gain site summary'!B31,'D-3 Off-Site Habitat Enhancment'!$AQ$12:$AQ$258)</f>
        <v>0</v>
      </c>
      <c r="G31" s="1370"/>
      <c r="H31" s="1369">
        <f>SUMIF('D-2 Off-Site Habitat Creation'!$AF$11:$AF$256,'Off-site gain site summary'!B31,'D-2 Off-Site Habitat Creation'!$AB$11:$AB$256)</f>
        <v>0</v>
      </c>
      <c r="I31" s="1370"/>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71"/>
      <c r="AF31" s="1371"/>
    </row>
    <row r="32" spans="1:32" x14ac:dyDescent="0.3">
      <c r="A32" s="757">
        <f>'D-1 Off-Site Habitat Baseline'!AF36</f>
        <v>0</v>
      </c>
      <c r="B32" s="764"/>
      <c r="C32" s="762">
        <f>SUMIF('D-1 Off-Site Habitat Baseline'!AF36:AF39,B32,'D-1 Off-Site Habitat Baseline'!T36:T39)</f>
        <v>0</v>
      </c>
      <c r="D32" s="1369">
        <f>SUMIF('D-1 Off-Site Habitat Baseline'!$AF$11:$AF$258,'Off-site gain site summary'!$B$7,'D-1 Off-Site Habitat Baseline'!$X$11:$X$258)</f>
        <v>0</v>
      </c>
      <c r="E32" s="1370"/>
      <c r="F32" s="1369">
        <f>SUMIF('D-3 Off-Site Habitat Enhancment'!$AU$12:$AU$258,'Off-site gain site summary'!B32,'D-3 Off-Site Habitat Enhancment'!$AQ$12:$AQ$258)</f>
        <v>0</v>
      </c>
      <c r="G32" s="1370"/>
      <c r="H32" s="1369">
        <f>SUMIF('D-2 Off-Site Habitat Creation'!$AF$11:$AF$256,'Off-site gain site summary'!B32,'D-2 Off-Site Habitat Creation'!$AB$11:$AB$256)</f>
        <v>0</v>
      </c>
      <c r="I32" s="1370"/>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71"/>
      <c r="AF32" s="1371"/>
    </row>
    <row r="33" spans="1:32" x14ac:dyDescent="0.3">
      <c r="A33" s="757">
        <f>'D-1 Off-Site Habitat Baseline'!AF37</f>
        <v>0</v>
      </c>
      <c r="B33" s="764"/>
      <c r="C33" s="762">
        <f>SUMIF('D-1 Off-Site Habitat Baseline'!AF37:AF40,B33,'D-1 Off-Site Habitat Baseline'!T37:T40)</f>
        <v>0</v>
      </c>
      <c r="D33" s="1369">
        <f>SUMIF('D-1 Off-Site Habitat Baseline'!$AF$11:$AF$258,'Off-site gain site summary'!$B$7,'D-1 Off-Site Habitat Baseline'!$X$11:$X$258)</f>
        <v>0</v>
      </c>
      <c r="E33" s="1370"/>
      <c r="F33" s="1369">
        <f>SUMIF('D-3 Off-Site Habitat Enhancment'!$AU$12:$AU$258,'Off-site gain site summary'!B33,'D-3 Off-Site Habitat Enhancment'!$AQ$12:$AQ$258)</f>
        <v>0</v>
      </c>
      <c r="G33" s="1370"/>
      <c r="H33" s="1369">
        <f>SUMIF('D-2 Off-Site Habitat Creation'!$AF$11:$AF$256,'Off-site gain site summary'!B33,'D-2 Off-Site Habitat Creation'!$AB$11:$AB$256)</f>
        <v>0</v>
      </c>
      <c r="I33" s="1370"/>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71"/>
      <c r="AF33" s="1371"/>
    </row>
    <row r="34" spans="1:32" x14ac:dyDescent="0.3">
      <c r="A34" s="757">
        <f>'D-1 Off-Site Habitat Baseline'!AF38</f>
        <v>0</v>
      </c>
      <c r="B34" s="764"/>
      <c r="C34" s="762">
        <f>SUMIF('D-1 Off-Site Habitat Baseline'!AF38:AF41,B34,'D-1 Off-Site Habitat Baseline'!T38:T41)</f>
        <v>0</v>
      </c>
      <c r="D34" s="1369">
        <f>SUMIF('D-1 Off-Site Habitat Baseline'!$AF$11:$AF$258,'Off-site gain site summary'!$B$7,'D-1 Off-Site Habitat Baseline'!$X$11:$X$258)</f>
        <v>0</v>
      </c>
      <c r="E34" s="1370"/>
      <c r="F34" s="1369">
        <f>SUMIF('D-3 Off-Site Habitat Enhancment'!$AU$12:$AU$258,'Off-site gain site summary'!B34,'D-3 Off-Site Habitat Enhancment'!$AQ$12:$AQ$258)</f>
        <v>0</v>
      </c>
      <c r="G34" s="1370"/>
      <c r="H34" s="1369">
        <f>SUMIF('D-2 Off-Site Habitat Creation'!$AF$11:$AF$256,'Off-site gain site summary'!B34,'D-2 Off-Site Habitat Creation'!$AB$11:$AB$256)</f>
        <v>0</v>
      </c>
      <c r="I34" s="1370"/>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71"/>
      <c r="AF34" s="1371"/>
    </row>
    <row r="35" spans="1:32" x14ac:dyDescent="0.3">
      <c r="A35" s="757">
        <f>'D-1 Off-Site Habitat Baseline'!AF39</f>
        <v>0</v>
      </c>
      <c r="B35" s="764"/>
      <c r="C35" s="762">
        <f>SUMIF('D-1 Off-Site Habitat Baseline'!AF39:AF42,B35,'D-1 Off-Site Habitat Baseline'!T39:T42)</f>
        <v>0</v>
      </c>
      <c r="D35" s="1369">
        <f>SUMIF('D-1 Off-Site Habitat Baseline'!$AF$11:$AF$258,'Off-site gain site summary'!$B$7,'D-1 Off-Site Habitat Baseline'!$X$11:$X$258)</f>
        <v>0</v>
      </c>
      <c r="E35" s="1370"/>
      <c r="F35" s="1369">
        <f>SUMIF('D-3 Off-Site Habitat Enhancment'!$AU$12:$AU$258,'Off-site gain site summary'!B35,'D-3 Off-Site Habitat Enhancment'!$AQ$12:$AQ$258)</f>
        <v>0</v>
      </c>
      <c r="G35" s="1370"/>
      <c r="H35" s="1369">
        <f>SUMIF('D-2 Off-Site Habitat Creation'!$AF$11:$AF$256,'Off-site gain site summary'!B35,'D-2 Off-Site Habitat Creation'!$AB$11:$AB$256)</f>
        <v>0</v>
      </c>
      <c r="I35" s="1370"/>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71"/>
      <c r="AF35" s="1371"/>
    </row>
    <row r="36" spans="1:32" x14ac:dyDescent="0.3">
      <c r="A36" s="757">
        <f>'D-1 Off-Site Habitat Baseline'!AF40</f>
        <v>0</v>
      </c>
      <c r="B36" s="764"/>
      <c r="C36" s="762">
        <f>SUMIF('D-1 Off-Site Habitat Baseline'!AF40:AF43,B36,'D-1 Off-Site Habitat Baseline'!T40:T43)</f>
        <v>0</v>
      </c>
      <c r="D36" s="1369">
        <f>SUMIF('D-1 Off-Site Habitat Baseline'!$AF$11:$AF$258,'Off-site gain site summary'!$B$7,'D-1 Off-Site Habitat Baseline'!$X$11:$X$258)</f>
        <v>0</v>
      </c>
      <c r="E36" s="1370"/>
      <c r="F36" s="1369">
        <f>SUMIF('D-3 Off-Site Habitat Enhancment'!$AU$12:$AU$258,'Off-site gain site summary'!B36,'D-3 Off-Site Habitat Enhancment'!$AQ$12:$AQ$258)</f>
        <v>0</v>
      </c>
      <c r="G36" s="1370"/>
      <c r="H36" s="1369">
        <f>SUMIF('D-2 Off-Site Habitat Creation'!$AF$11:$AF$256,'Off-site gain site summary'!B36,'D-2 Off-Site Habitat Creation'!$AB$11:$AB$256)</f>
        <v>0</v>
      </c>
      <c r="I36" s="1370"/>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71"/>
      <c r="AF36" s="1371"/>
    </row>
    <row r="37" spans="1:32" x14ac:dyDescent="0.3">
      <c r="A37" s="757">
        <f>'D-1 Off-Site Habitat Baseline'!AF41</f>
        <v>0</v>
      </c>
      <c r="B37" s="764"/>
      <c r="C37" s="762">
        <f>SUMIF('D-1 Off-Site Habitat Baseline'!AF41:AF44,B37,'D-1 Off-Site Habitat Baseline'!T41:T44)</f>
        <v>0</v>
      </c>
      <c r="D37" s="1369">
        <f>SUMIF('D-1 Off-Site Habitat Baseline'!$AF$11:$AF$258,'Off-site gain site summary'!$B$7,'D-1 Off-Site Habitat Baseline'!$X$11:$X$258)</f>
        <v>0</v>
      </c>
      <c r="E37" s="1370"/>
      <c r="F37" s="1369">
        <f>SUMIF('D-3 Off-Site Habitat Enhancment'!$AU$12:$AU$258,'Off-site gain site summary'!B37,'D-3 Off-Site Habitat Enhancment'!$AQ$12:$AQ$258)</f>
        <v>0</v>
      </c>
      <c r="G37" s="1370"/>
      <c r="H37" s="1369">
        <f>SUMIF('D-2 Off-Site Habitat Creation'!$AF$11:$AF$256,'Off-site gain site summary'!B37,'D-2 Off-Site Habitat Creation'!$AB$11:$AB$256)</f>
        <v>0</v>
      </c>
      <c r="I37" s="1370"/>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71"/>
      <c r="AF37" s="1371"/>
    </row>
    <row r="38" spans="1:32" x14ac:dyDescent="0.3">
      <c r="A38" s="757">
        <f>'D-1 Off-Site Habitat Baseline'!AF42</f>
        <v>0</v>
      </c>
      <c r="B38" s="764"/>
      <c r="C38" s="762">
        <f>SUMIF('D-1 Off-Site Habitat Baseline'!AF42:AF45,B38,'D-1 Off-Site Habitat Baseline'!T42:T45)</f>
        <v>0</v>
      </c>
      <c r="D38" s="1369">
        <f>SUMIF('D-1 Off-Site Habitat Baseline'!$AF$11:$AF$258,'Off-site gain site summary'!$B$7,'D-1 Off-Site Habitat Baseline'!$X$11:$X$258)</f>
        <v>0</v>
      </c>
      <c r="E38" s="1370"/>
      <c r="F38" s="1369">
        <f>SUMIF('D-3 Off-Site Habitat Enhancment'!$AU$12:$AU$258,'Off-site gain site summary'!B38,'D-3 Off-Site Habitat Enhancment'!$AQ$12:$AQ$258)</f>
        <v>0</v>
      </c>
      <c r="G38" s="1370"/>
      <c r="H38" s="1369">
        <f>SUMIF('D-2 Off-Site Habitat Creation'!$AF$11:$AF$256,'Off-site gain site summary'!B38,'D-2 Off-Site Habitat Creation'!$AB$11:$AB$256)</f>
        <v>0</v>
      </c>
      <c r="I38" s="1370"/>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71"/>
      <c r="AF38" s="1371"/>
    </row>
    <row r="39" spans="1:32" x14ac:dyDescent="0.3">
      <c r="A39" s="757">
        <f>'D-1 Off-Site Habitat Baseline'!AF43</f>
        <v>0</v>
      </c>
      <c r="B39" s="764"/>
      <c r="C39" s="762">
        <f>SUMIF('D-1 Off-Site Habitat Baseline'!AF43:AF46,B39,'D-1 Off-Site Habitat Baseline'!T43:T46)</f>
        <v>0</v>
      </c>
      <c r="D39" s="1369">
        <f>SUMIF('D-1 Off-Site Habitat Baseline'!$AF$11:$AF$258,'Off-site gain site summary'!$B$7,'D-1 Off-Site Habitat Baseline'!$X$11:$X$258)</f>
        <v>0</v>
      </c>
      <c r="E39" s="1370"/>
      <c r="F39" s="1369">
        <f>SUMIF('D-3 Off-Site Habitat Enhancment'!$AU$12:$AU$258,'Off-site gain site summary'!B39,'D-3 Off-Site Habitat Enhancment'!$AQ$12:$AQ$258)</f>
        <v>0</v>
      </c>
      <c r="G39" s="1370"/>
      <c r="H39" s="1369">
        <f>SUMIF('D-2 Off-Site Habitat Creation'!$AF$11:$AF$256,'Off-site gain site summary'!B39,'D-2 Off-Site Habitat Creation'!$AB$11:$AB$256)</f>
        <v>0</v>
      </c>
      <c r="I39" s="1370"/>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71"/>
      <c r="AF39" s="1371"/>
    </row>
    <row r="40" spans="1:32" x14ac:dyDescent="0.3">
      <c r="A40" s="757">
        <f>'D-1 Off-Site Habitat Baseline'!AF44</f>
        <v>0</v>
      </c>
      <c r="B40" s="764"/>
      <c r="C40" s="762">
        <f>SUMIF('D-1 Off-Site Habitat Baseline'!AF44:AF47,B40,'D-1 Off-Site Habitat Baseline'!T44:T47)</f>
        <v>0</v>
      </c>
      <c r="D40" s="1369">
        <f>SUMIF('D-1 Off-Site Habitat Baseline'!$AF$11:$AF$258,'Off-site gain site summary'!$B$7,'D-1 Off-Site Habitat Baseline'!$X$11:$X$258)</f>
        <v>0</v>
      </c>
      <c r="E40" s="1370"/>
      <c r="F40" s="1369">
        <f>SUMIF('D-3 Off-Site Habitat Enhancment'!$AU$12:$AU$258,'Off-site gain site summary'!B40,'D-3 Off-Site Habitat Enhancment'!$AQ$12:$AQ$258)</f>
        <v>0</v>
      </c>
      <c r="G40" s="1370"/>
      <c r="H40" s="1369">
        <f>SUMIF('D-2 Off-Site Habitat Creation'!$AF$11:$AF$256,'Off-site gain site summary'!B40,'D-2 Off-Site Habitat Creation'!$AB$11:$AB$256)</f>
        <v>0</v>
      </c>
      <c r="I40" s="1370"/>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71"/>
      <c r="AF40" s="1371"/>
    </row>
    <row r="41" spans="1:32" x14ac:dyDescent="0.3">
      <c r="A41" s="757">
        <f>'D-1 Off-Site Habitat Baseline'!AF45</f>
        <v>0</v>
      </c>
      <c r="B41" s="764"/>
      <c r="C41" s="762">
        <f>SUMIF('D-1 Off-Site Habitat Baseline'!AF45:AF48,B41,'D-1 Off-Site Habitat Baseline'!T45:T48)</f>
        <v>0</v>
      </c>
      <c r="D41" s="1369">
        <f>SUMIF('D-1 Off-Site Habitat Baseline'!$AF$11:$AF$258,'Off-site gain site summary'!$B$7,'D-1 Off-Site Habitat Baseline'!$X$11:$X$258)</f>
        <v>0</v>
      </c>
      <c r="E41" s="1370"/>
      <c r="F41" s="1369">
        <f>SUMIF('D-3 Off-Site Habitat Enhancment'!$AU$12:$AU$258,'Off-site gain site summary'!B41,'D-3 Off-Site Habitat Enhancment'!$AQ$12:$AQ$258)</f>
        <v>0</v>
      </c>
      <c r="G41" s="1370"/>
      <c r="H41" s="1369">
        <f>SUMIF('D-2 Off-Site Habitat Creation'!$AF$11:$AF$256,'Off-site gain site summary'!B41,'D-2 Off-Site Habitat Creation'!$AB$11:$AB$256)</f>
        <v>0</v>
      </c>
      <c r="I41" s="1370"/>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71"/>
      <c r="AF41" s="1371"/>
    </row>
    <row r="42" spans="1:32" x14ac:dyDescent="0.3">
      <c r="A42" s="757">
        <f>'D-1 Off-Site Habitat Baseline'!AF46</f>
        <v>0</v>
      </c>
      <c r="B42" s="764"/>
      <c r="C42" s="762">
        <f>SUMIF('D-1 Off-Site Habitat Baseline'!AF46:AF49,B42,'D-1 Off-Site Habitat Baseline'!T46:T49)</f>
        <v>0</v>
      </c>
      <c r="D42" s="1369">
        <f>SUMIF('D-1 Off-Site Habitat Baseline'!$AF$11:$AF$258,'Off-site gain site summary'!$B$7,'D-1 Off-Site Habitat Baseline'!$X$11:$X$258)</f>
        <v>0</v>
      </c>
      <c r="E42" s="1370"/>
      <c r="F42" s="1369">
        <f>SUMIF('D-3 Off-Site Habitat Enhancment'!$AU$12:$AU$258,'Off-site gain site summary'!B42,'D-3 Off-Site Habitat Enhancment'!$AQ$12:$AQ$258)</f>
        <v>0</v>
      </c>
      <c r="G42" s="1370"/>
      <c r="H42" s="1369">
        <f>SUMIF('D-2 Off-Site Habitat Creation'!$AF$11:$AF$256,'Off-site gain site summary'!B42,'D-2 Off-Site Habitat Creation'!$AB$11:$AB$256)</f>
        <v>0</v>
      </c>
      <c r="I42" s="1370"/>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71"/>
      <c r="AF42" s="1371"/>
    </row>
    <row r="43" spans="1:32" x14ac:dyDescent="0.3">
      <c r="A43" s="757">
        <f>'D-1 Off-Site Habitat Baseline'!AF47</f>
        <v>0</v>
      </c>
      <c r="B43" s="764"/>
      <c r="C43" s="762">
        <f>SUMIF('D-1 Off-Site Habitat Baseline'!AF47:AF50,B43,'D-1 Off-Site Habitat Baseline'!T47:T50)</f>
        <v>0</v>
      </c>
      <c r="D43" s="1369">
        <f>SUMIF('D-1 Off-Site Habitat Baseline'!$AF$11:$AF$258,'Off-site gain site summary'!$B$7,'D-1 Off-Site Habitat Baseline'!$X$11:$X$258)</f>
        <v>0</v>
      </c>
      <c r="E43" s="1370"/>
      <c r="F43" s="1369">
        <f>SUMIF('D-3 Off-Site Habitat Enhancment'!$AU$12:$AU$258,'Off-site gain site summary'!B43,'D-3 Off-Site Habitat Enhancment'!$AQ$12:$AQ$258)</f>
        <v>0</v>
      </c>
      <c r="G43" s="1370"/>
      <c r="H43" s="1369">
        <f>SUMIF('D-2 Off-Site Habitat Creation'!$AF$11:$AF$256,'Off-site gain site summary'!B43,'D-2 Off-Site Habitat Creation'!$AB$11:$AB$256)</f>
        <v>0</v>
      </c>
      <c r="I43" s="1370"/>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71"/>
      <c r="AF43" s="1371"/>
    </row>
    <row r="44" spans="1:32" x14ac:dyDescent="0.3">
      <c r="A44" s="757">
        <f>'D-1 Off-Site Habitat Baseline'!AF48</f>
        <v>0</v>
      </c>
      <c r="B44" s="764"/>
      <c r="C44" s="762">
        <f>SUMIF('D-1 Off-Site Habitat Baseline'!AF48:AF51,B44,'D-1 Off-Site Habitat Baseline'!T48:T51)</f>
        <v>0</v>
      </c>
      <c r="D44" s="1369">
        <f>SUMIF('D-1 Off-Site Habitat Baseline'!$AF$11:$AF$258,'Off-site gain site summary'!$B$7,'D-1 Off-Site Habitat Baseline'!$X$11:$X$258)</f>
        <v>0</v>
      </c>
      <c r="E44" s="1370"/>
      <c r="F44" s="1369">
        <f>SUMIF('D-3 Off-Site Habitat Enhancment'!$AU$12:$AU$258,'Off-site gain site summary'!B44,'D-3 Off-Site Habitat Enhancment'!$AQ$12:$AQ$258)</f>
        <v>0</v>
      </c>
      <c r="G44" s="1370"/>
      <c r="H44" s="1369">
        <f>SUMIF('D-2 Off-Site Habitat Creation'!$AF$11:$AF$256,'Off-site gain site summary'!B44,'D-2 Off-Site Habitat Creation'!$AB$11:$AB$256)</f>
        <v>0</v>
      </c>
      <c r="I44" s="1370"/>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71"/>
      <c r="AF44" s="1371"/>
    </row>
    <row r="45" spans="1:32" x14ac:dyDescent="0.3">
      <c r="A45" s="757">
        <f>'D-1 Off-Site Habitat Baseline'!AF49</f>
        <v>0</v>
      </c>
      <c r="B45" s="764"/>
      <c r="C45" s="762">
        <f>SUMIF('D-1 Off-Site Habitat Baseline'!AF49:AF52,B45,'D-1 Off-Site Habitat Baseline'!T49:T52)</f>
        <v>0</v>
      </c>
      <c r="D45" s="1369">
        <f>SUMIF('D-1 Off-Site Habitat Baseline'!$AF$11:$AF$258,'Off-site gain site summary'!$B$7,'D-1 Off-Site Habitat Baseline'!$X$11:$X$258)</f>
        <v>0</v>
      </c>
      <c r="E45" s="1370"/>
      <c r="F45" s="1369">
        <f>SUMIF('D-3 Off-Site Habitat Enhancment'!$AU$12:$AU$258,'Off-site gain site summary'!B45,'D-3 Off-Site Habitat Enhancment'!$AQ$12:$AQ$258)</f>
        <v>0</v>
      </c>
      <c r="G45" s="1370"/>
      <c r="H45" s="1369">
        <f>SUMIF('D-2 Off-Site Habitat Creation'!$AF$11:$AF$256,'Off-site gain site summary'!B45,'D-2 Off-Site Habitat Creation'!$AB$11:$AB$256)</f>
        <v>0</v>
      </c>
      <c r="I45" s="1370"/>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71"/>
      <c r="AF45" s="1371"/>
    </row>
    <row r="46" spans="1:32" x14ac:dyDescent="0.3">
      <c r="A46" s="757">
        <f>'D-1 Off-Site Habitat Baseline'!AF50</f>
        <v>0</v>
      </c>
      <c r="B46" s="764"/>
      <c r="C46" s="762">
        <f>SUMIF('D-1 Off-Site Habitat Baseline'!AF50:AF53,B46,'D-1 Off-Site Habitat Baseline'!T50:T53)</f>
        <v>0</v>
      </c>
      <c r="D46" s="1369">
        <f>SUMIF('D-1 Off-Site Habitat Baseline'!$AF$11:$AF$258,'Off-site gain site summary'!$B$7,'D-1 Off-Site Habitat Baseline'!$X$11:$X$258)</f>
        <v>0</v>
      </c>
      <c r="E46" s="1370"/>
      <c r="F46" s="1369">
        <f>SUMIF('D-3 Off-Site Habitat Enhancment'!$AU$12:$AU$258,'Off-site gain site summary'!B46,'D-3 Off-Site Habitat Enhancment'!$AQ$12:$AQ$258)</f>
        <v>0</v>
      </c>
      <c r="G46" s="1370"/>
      <c r="H46" s="1369">
        <f>SUMIF('D-2 Off-Site Habitat Creation'!$AF$11:$AF$256,'Off-site gain site summary'!B46,'D-2 Off-Site Habitat Creation'!$AB$11:$AB$256)</f>
        <v>0</v>
      </c>
      <c r="I46" s="1370"/>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71"/>
      <c r="AF46" s="1371"/>
    </row>
    <row r="47" spans="1:32" x14ac:dyDescent="0.3">
      <c r="A47" s="757">
        <f>'D-1 Off-Site Habitat Baseline'!AF51</f>
        <v>0</v>
      </c>
      <c r="B47" s="764"/>
      <c r="C47" s="762">
        <f>SUMIF('D-1 Off-Site Habitat Baseline'!AF51:AF54,B47,'D-1 Off-Site Habitat Baseline'!T51:T54)</f>
        <v>0</v>
      </c>
      <c r="D47" s="1369">
        <f>SUMIF('D-1 Off-Site Habitat Baseline'!$AF$11:$AF$258,'Off-site gain site summary'!$B$7,'D-1 Off-Site Habitat Baseline'!$X$11:$X$258)</f>
        <v>0</v>
      </c>
      <c r="E47" s="1370"/>
      <c r="F47" s="1369">
        <f>SUMIF('D-3 Off-Site Habitat Enhancment'!$AU$12:$AU$258,'Off-site gain site summary'!B47,'D-3 Off-Site Habitat Enhancment'!$AQ$12:$AQ$258)</f>
        <v>0</v>
      </c>
      <c r="G47" s="1370"/>
      <c r="H47" s="1369">
        <f>SUMIF('D-2 Off-Site Habitat Creation'!$AF$11:$AF$256,'Off-site gain site summary'!B47,'D-2 Off-Site Habitat Creation'!$AB$11:$AB$256)</f>
        <v>0</v>
      </c>
      <c r="I47" s="1370"/>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71"/>
      <c r="AF47" s="1371"/>
    </row>
    <row r="48" spans="1:32" x14ac:dyDescent="0.3">
      <c r="A48" s="757">
        <f>'D-1 Off-Site Habitat Baseline'!AF52</f>
        <v>0</v>
      </c>
      <c r="B48" s="764"/>
      <c r="C48" s="762">
        <f>SUMIF('D-1 Off-Site Habitat Baseline'!AF52:AF55,B48,'D-1 Off-Site Habitat Baseline'!T52:T55)</f>
        <v>0</v>
      </c>
      <c r="D48" s="1369">
        <f>SUMIF('D-1 Off-Site Habitat Baseline'!$AF$11:$AF$258,'Off-site gain site summary'!$B$7,'D-1 Off-Site Habitat Baseline'!$X$11:$X$258)</f>
        <v>0</v>
      </c>
      <c r="E48" s="1370"/>
      <c r="F48" s="1369">
        <f>SUMIF('D-3 Off-Site Habitat Enhancment'!$AU$12:$AU$258,'Off-site gain site summary'!B48,'D-3 Off-Site Habitat Enhancment'!$AQ$12:$AQ$258)</f>
        <v>0</v>
      </c>
      <c r="G48" s="1370"/>
      <c r="H48" s="1369">
        <f>SUMIF('D-2 Off-Site Habitat Creation'!$AF$11:$AF$256,'Off-site gain site summary'!B48,'D-2 Off-Site Habitat Creation'!$AB$11:$AB$256)</f>
        <v>0</v>
      </c>
      <c r="I48" s="1370"/>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71"/>
      <c r="AF48" s="1371"/>
    </row>
    <row r="49" spans="1:32" x14ac:dyDescent="0.3">
      <c r="A49" s="757">
        <f>'D-1 Off-Site Habitat Baseline'!AF53</f>
        <v>0</v>
      </c>
      <c r="B49" s="764"/>
      <c r="C49" s="762">
        <f>SUMIF('D-1 Off-Site Habitat Baseline'!AF53:AF56,B49,'D-1 Off-Site Habitat Baseline'!T53:T56)</f>
        <v>0</v>
      </c>
      <c r="D49" s="1369">
        <f>SUMIF('D-1 Off-Site Habitat Baseline'!$AF$11:$AF$258,'Off-site gain site summary'!$B$7,'D-1 Off-Site Habitat Baseline'!$X$11:$X$258)</f>
        <v>0</v>
      </c>
      <c r="E49" s="1370"/>
      <c r="F49" s="1369">
        <f>SUMIF('D-3 Off-Site Habitat Enhancment'!$AU$12:$AU$258,'Off-site gain site summary'!B49,'D-3 Off-Site Habitat Enhancment'!$AQ$12:$AQ$258)</f>
        <v>0</v>
      </c>
      <c r="G49" s="1370"/>
      <c r="H49" s="1369">
        <f>SUMIF('D-2 Off-Site Habitat Creation'!$AF$11:$AF$256,'Off-site gain site summary'!B49,'D-2 Off-Site Habitat Creation'!$AB$11:$AB$256)</f>
        <v>0</v>
      </c>
      <c r="I49" s="1370"/>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71"/>
      <c r="AF49" s="1371"/>
    </row>
    <row r="50" spans="1:32" x14ac:dyDescent="0.3">
      <c r="A50" s="757">
        <f>'D-1 Off-Site Habitat Baseline'!AF54</f>
        <v>0</v>
      </c>
      <c r="B50" s="764"/>
      <c r="C50" s="762">
        <f>SUMIF('D-1 Off-Site Habitat Baseline'!AF54:AF57,B50,'D-1 Off-Site Habitat Baseline'!T54:T57)</f>
        <v>0</v>
      </c>
      <c r="D50" s="1369">
        <f>SUMIF('D-1 Off-Site Habitat Baseline'!$AF$11:$AF$258,'Off-site gain site summary'!$B$7,'D-1 Off-Site Habitat Baseline'!$X$11:$X$258)</f>
        <v>0</v>
      </c>
      <c r="E50" s="1370"/>
      <c r="F50" s="1369">
        <f>SUMIF('D-3 Off-Site Habitat Enhancment'!$AU$12:$AU$258,'Off-site gain site summary'!B50,'D-3 Off-Site Habitat Enhancment'!$AQ$12:$AQ$258)</f>
        <v>0</v>
      </c>
      <c r="G50" s="1370"/>
      <c r="H50" s="1369">
        <f>SUMIF('D-2 Off-Site Habitat Creation'!$AF$11:$AF$256,'Off-site gain site summary'!B50,'D-2 Off-Site Habitat Creation'!$AB$11:$AB$256)</f>
        <v>0</v>
      </c>
      <c r="I50" s="1370"/>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71"/>
      <c r="AF50" s="1371"/>
    </row>
    <row r="51" spans="1:32" x14ac:dyDescent="0.3">
      <c r="A51" s="757">
        <f>'D-1 Off-Site Habitat Baseline'!AF55</f>
        <v>0</v>
      </c>
      <c r="B51" s="764"/>
      <c r="C51" s="762">
        <f>SUMIF('D-1 Off-Site Habitat Baseline'!AF55:AF58,B51,'D-1 Off-Site Habitat Baseline'!T55:T58)</f>
        <v>0</v>
      </c>
      <c r="D51" s="1369">
        <f>SUMIF('D-1 Off-Site Habitat Baseline'!$AF$11:$AF$258,'Off-site gain site summary'!$B$7,'D-1 Off-Site Habitat Baseline'!$X$11:$X$258)</f>
        <v>0</v>
      </c>
      <c r="E51" s="1370"/>
      <c r="F51" s="1369">
        <f>SUMIF('D-3 Off-Site Habitat Enhancment'!$AU$12:$AU$258,'Off-site gain site summary'!B51,'D-3 Off-Site Habitat Enhancment'!$AQ$12:$AQ$258)</f>
        <v>0</v>
      </c>
      <c r="G51" s="1370"/>
      <c r="H51" s="1369">
        <f>SUMIF('D-2 Off-Site Habitat Creation'!$AF$11:$AF$256,'Off-site gain site summary'!B51,'D-2 Off-Site Habitat Creation'!$AB$11:$AB$256)</f>
        <v>0</v>
      </c>
      <c r="I51" s="1370"/>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71"/>
      <c r="AF51" s="1371"/>
    </row>
    <row r="52" spans="1:32" x14ac:dyDescent="0.3">
      <c r="A52" s="757">
        <f>'D-1 Off-Site Habitat Baseline'!AF56</f>
        <v>0</v>
      </c>
      <c r="B52" s="764"/>
      <c r="C52" s="762">
        <f>SUMIF('D-1 Off-Site Habitat Baseline'!AF56:AF59,B52,'D-1 Off-Site Habitat Baseline'!T56:T59)</f>
        <v>0</v>
      </c>
      <c r="D52" s="1369">
        <f>SUMIF('D-1 Off-Site Habitat Baseline'!$AF$11:$AF$258,'Off-site gain site summary'!$B$7,'D-1 Off-Site Habitat Baseline'!$X$11:$X$258)</f>
        <v>0</v>
      </c>
      <c r="E52" s="1370"/>
      <c r="F52" s="1369">
        <f>SUMIF('D-3 Off-Site Habitat Enhancment'!$AU$12:$AU$258,'Off-site gain site summary'!B52,'D-3 Off-Site Habitat Enhancment'!$AQ$12:$AQ$258)</f>
        <v>0</v>
      </c>
      <c r="G52" s="1370"/>
      <c r="H52" s="1369">
        <f>SUMIF('D-2 Off-Site Habitat Creation'!$AF$11:$AF$256,'Off-site gain site summary'!B52,'D-2 Off-Site Habitat Creation'!$AB$11:$AB$256)</f>
        <v>0</v>
      </c>
      <c r="I52" s="1370"/>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71"/>
      <c r="AF52" s="1371"/>
    </row>
    <row r="53" spans="1:32" x14ac:dyDescent="0.3">
      <c r="A53" s="757">
        <f>'D-1 Off-Site Habitat Baseline'!AF57</f>
        <v>0</v>
      </c>
      <c r="B53" s="764"/>
      <c r="C53" s="762">
        <f>SUMIF('D-1 Off-Site Habitat Baseline'!AF57:AF60,B53,'D-1 Off-Site Habitat Baseline'!T57:T60)</f>
        <v>0</v>
      </c>
      <c r="D53" s="1369">
        <f>SUMIF('D-1 Off-Site Habitat Baseline'!$AF$11:$AF$258,'Off-site gain site summary'!$B$7,'D-1 Off-Site Habitat Baseline'!$X$11:$X$258)</f>
        <v>0</v>
      </c>
      <c r="E53" s="1370"/>
      <c r="F53" s="1369">
        <f>SUMIF('D-3 Off-Site Habitat Enhancment'!$AU$12:$AU$258,'Off-site gain site summary'!B53,'D-3 Off-Site Habitat Enhancment'!$AQ$12:$AQ$258)</f>
        <v>0</v>
      </c>
      <c r="G53" s="1370"/>
      <c r="H53" s="1369">
        <f>SUMIF('D-2 Off-Site Habitat Creation'!$AF$11:$AF$256,'Off-site gain site summary'!B53,'D-2 Off-Site Habitat Creation'!$AB$11:$AB$256)</f>
        <v>0</v>
      </c>
      <c r="I53" s="1370"/>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71"/>
      <c r="AF53" s="1371"/>
    </row>
    <row r="54" spans="1:32" x14ac:dyDescent="0.3">
      <c r="A54" s="757">
        <f>'D-1 Off-Site Habitat Baseline'!AF58</f>
        <v>0</v>
      </c>
      <c r="B54" s="764"/>
      <c r="C54" s="762">
        <f>SUMIF('D-1 Off-Site Habitat Baseline'!AF58:AF61,B54,'D-1 Off-Site Habitat Baseline'!T58:T61)</f>
        <v>0</v>
      </c>
      <c r="D54" s="1369">
        <f>SUMIF('D-1 Off-Site Habitat Baseline'!$AF$11:$AF$258,'Off-site gain site summary'!$B$7,'D-1 Off-Site Habitat Baseline'!$X$11:$X$258)</f>
        <v>0</v>
      </c>
      <c r="E54" s="1370"/>
      <c r="F54" s="1369">
        <f>SUMIF('D-3 Off-Site Habitat Enhancment'!$AU$12:$AU$258,'Off-site gain site summary'!B54,'D-3 Off-Site Habitat Enhancment'!$AQ$12:$AQ$258)</f>
        <v>0</v>
      </c>
      <c r="G54" s="1370"/>
      <c r="H54" s="1369">
        <f>SUMIF('D-2 Off-Site Habitat Creation'!$AF$11:$AF$256,'Off-site gain site summary'!B54,'D-2 Off-Site Habitat Creation'!$AB$11:$AB$256)</f>
        <v>0</v>
      </c>
      <c r="I54" s="1370"/>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71"/>
      <c r="AF54" s="1371"/>
    </row>
    <row r="55" spans="1:32" x14ac:dyDescent="0.3">
      <c r="A55" s="757">
        <f>'D-1 Off-Site Habitat Baseline'!AF59</f>
        <v>0</v>
      </c>
      <c r="B55" s="764"/>
      <c r="C55" s="762">
        <f>SUMIF('D-1 Off-Site Habitat Baseline'!AF59:AF62,B55,'D-1 Off-Site Habitat Baseline'!T59:T62)</f>
        <v>0</v>
      </c>
      <c r="D55" s="1369">
        <f>SUMIF('D-1 Off-Site Habitat Baseline'!$AF$11:$AF$258,'Off-site gain site summary'!$B$7,'D-1 Off-Site Habitat Baseline'!$X$11:$X$258)</f>
        <v>0</v>
      </c>
      <c r="E55" s="1370"/>
      <c r="F55" s="1369">
        <f>SUMIF('D-3 Off-Site Habitat Enhancment'!$AU$12:$AU$258,'Off-site gain site summary'!B55,'D-3 Off-Site Habitat Enhancment'!$AQ$12:$AQ$258)</f>
        <v>0</v>
      </c>
      <c r="G55" s="1370"/>
      <c r="H55" s="1369">
        <f>SUMIF('D-2 Off-Site Habitat Creation'!$AF$11:$AF$256,'Off-site gain site summary'!B55,'D-2 Off-Site Habitat Creation'!$AB$11:$AB$256)</f>
        <v>0</v>
      </c>
      <c r="I55" s="1370"/>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71"/>
      <c r="AF55" s="1371"/>
    </row>
    <row r="56" spans="1:32" x14ac:dyDescent="0.3">
      <c r="A56" s="757">
        <f>'D-1 Off-Site Habitat Baseline'!AF60</f>
        <v>0</v>
      </c>
      <c r="B56" s="764"/>
      <c r="C56" s="762">
        <f>SUMIF('D-1 Off-Site Habitat Baseline'!AF60:AF63,B56,'D-1 Off-Site Habitat Baseline'!T60:T63)</f>
        <v>0</v>
      </c>
      <c r="D56" s="1369">
        <f>SUMIF('D-1 Off-Site Habitat Baseline'!$AF$11:$AF$258,'Off-site gain site summary'!$B$7,'D-1 Off-Site Habitat Baseline'!$X$11:$X$258)</f>
        <v>0</v>
      </c>
      <c r="E56" s="1370"/>
      <c r="F56" s="1369">
        <f>SUMIF('D-3 Off-Site Habitat Enhancment'!$AU$12:$AU$258,'Off-site gain site summary'!B56,'D-3 Off-Site Habitat Enhancment'!$AQ$12:$AQ$258)</f>
        <v>0</v>
      </c>
      <c r="G56" s="1370"/>
      <c r="H56" s="1369">
        <f>SUMIF('D-2 Off-Site Habitat Creation'!$AF$11:$AF$256,'Off-site gain site summary'!B56,'D-2 Off-Site Habitat Creation'!$AB$11:$AB$256)</f>
        <v>0</v>
      </c>
      <c r="I56" s="1370"/>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71"/>
      <c r="AF56" s="1371"/>
    </row>
    <row r="57" spans="1:32" x14ac:dyDescent="0.3">
      <c r="A57" s="757">
        <f>'D-1 Off-Site Habitat Baseline'!AF61</f>
        <v>0</v>
      </c>
      <c r="B57" s="764"/>
      <c r="C57" s="762">
        <f>SUMIF('D-1 Off-Site Habitat Baseline'!AF61:AF64,B57,'D-1 Off-Site Habitat Baseline'!T61:T64)</f>
        <v>0</v>
      </c>
      <c r="D57" s="1369">
        <f>SUMIF('D-1 Off-Site Habitat Baseline'!$AF$11:$AF$258,'Off-site gain site summary'!$B$7,'D-1 Off-Site Habitat Baseline'!$X$11:$X$258)</f>
        <v>0</v>
      </c>
      <c r="E57" s="1370"/>
      <c r="F57" s="1369">
        <f>SUMIF('D-3 Off-Site Habitat Enhancment'!$AU$12:$AU$258,'Off-site gain site summary'!B57,'D-3 Off-Site Habitat Enhancment'!$AQ$12:$AQ$258)</f>
        <v>0</v>
      </c>
      <c r="G57" s="1370"/>
      <c r="H57" s="1369">
        <f>SUMIF('D-2 Off-Site Habitat Creation'!$AF$11:$AF$256,'Off-site gain site summary'!B57,'D-2 Off-Site Habitat Creation'!$AB$11:$AB$256)</f>
        <v>0</v>
      </c>
      <c r="I57" s="1370"/>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71"/>
      <c r="AF57" s="1371"/>
    </row>
    <row r="58" spans="1:32" x14ac:dyDescent="0.3">
      <c r="A58" s="757">
        <f>'D-1 Off-Site Habitat Baseline'!AF62</f>
        <v>0</v>
      </c>
      <c r="B58" s="764"/>
      <c r="C58" s="762">
        <f>SUMIF('D-1 Off-Site Habitat Baseline'!AF62:AF65,B58,'D-1 Off-Site Habitat Baseline'!T62:T65)</f>
        <v>0</v>
      </c>
      <c r="D58" s="1369">
        <f>SUMIF('D-1 Off-Site Habitat Baseline'!$AF$11:$AF$258,'Off-site gain site summary'!$B$7,'D-1 Off-Site Habitat Baseline'!$X$11:$X$258)</f>
        <v>0</v>
      </c>
      <c r="E58" s="1370"/>
      <c r="F58" s="1369">
        <f>SUMIF('D-3 Off-Site Habitat Enhancment'!$AU$12:$AU$258,'Off-site gain site summary'!B58,'D-3 Off-Site Habitat Enhancment'!$AQ$12:$AQ$258)</f>
        <v>0</v>
      </c>
      <c r="G58" s="1370"/>
      <c r="H58" s="1369">
        <f>SUMIF('D-2 Off-Site Habitat Creation'!$AF$11:$AF$256,'Off-site gain site summary'!B58,'D-2 Off-Site Habitat Creation'!$AB$11:$AB$256)</f>
        <v>0</v>
      </c>
      <c r="I58" s="1370"/>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71"/>
      <c r="AF58" s="1371"/>
    </row>
    <row r="59" spans="1:32" x14ac:dyDescent="0.3">
      <c r="A59" s="757">
        <f>'D-1 Off-Site Habitat Baseline'!AF63</f>
        <v>0</v>
      </c>
      <c r="B59" s="764"/>
      <c r="C59" s="762">
        <f>SUMIF('D-1 Off-Site Habitat Baseline'!AF63:AF66,B59,'D-1 Off-Site Habitat Baseline'!T63:T66)</f>
        <v>0</v>
      </c>
      <c r="D59" s="1369">
        <f>SUMIF('D-1 Off-Site Habitat Baseline'!$AF$11:$AF$258,'Off-site gain site summary'!$B$7,'D-1 Off-Site Habitat Baseline'!$X$11:$X$258)</f>
        <v>0</v>
      </c>
      <c r="E59" s="1370"/>
      <c r="F59" s="1369">
        <f>SUMIF('D-3 Off-Site Habitat Enhancment'!$AU$12:$AU$258,'Off-site gain site summary'!B59,'D-3 Off-Site Habitat Enhancment'!$AQ$12:$AQ$258)</f>
        <v>0</v>
      </c>
      <c r="G59" s="1370"/>
      <c r="H59" s="1369">
        <f>SUMIF('D-2 Off-Site Habitat Creation'!$AF$11:$AF$256,'Off-site gain site summary'!B59,'D-2 Off-Site Habitat Creation'!$AB$11:$AB$256)</f>
        <v>0</v>
      </c>
      <c r="I59" s="1370"/>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71"/>
      <c r="AF59" s="1371"/>
    </row>
    <row r="60" spans="1:32" x14ac:dyDescent="0.3">
      <c r="A60" s="757">
        <f>'D-1 Off-Site Habitat Baseline'!AF64</f>
        <v>0</v>
      </c>
      <c r="B60" s="764"/>
      <c r="C60" s="762">
        <f>SUMIF('D-1 Off-Site Habitat Baseline'!AF64:AF67,B60,'D-1 Off-Site Habitat Baseline'!T64:T67)</f>
        <v>0</v>
      </c>
      <c r="D60" s="1369">
        <f>SUMIF('D-1 Off-Site Habitat Baseline'!$AF$11:$AF$258,'Off-site gain site summary'!$B$7,'D-1 Off-Site Habitat Baseline'!$X$11:$X$258)</f>
        <v>0</v>
      </c>
      <c r="E60" s="1370"/>
      <c r="F60" s="1369">
        <f>SUMIF('D-3 Off-Site Habitat Enhancment'!$AU$12:$AU$258,'Off-site gain site summary'!B60,'D-3 Off-Site Habitat Enhancment'!$AQ$12:$AQ$258)</f>
        <v>0</v>
      </c>
      <c r="G60" s="1370"/>
      <c r="H60" s="1369">
        <f>SUMIF('D-2 Off-Site Habitat Creation'!$AF$11:$AF$256,'Off-site gain site summary'!B60,'D-2 Off-Site Habitat Creation'!$AB$11:$AB$256)</f>
        <v>0</v>
      </c>
      <c r="I60" s="1370"/>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71"/>
      <c r="AF60" s="1371"/>
    </row>
    <row r="61" spans="1:32" x14ac:dyDescent="0.3">
      <c r="A61" s="757">
        <f>'D-1 Off-Site Habitat Baseline'!AF65</f>
        <v>0</v>
      </c>
      <c r="B61" s="764"/>
      <c r="C61" s="762">
        <f>SUMIF('D-1 Off-Site Habitat Baseline'!AF65:AF68,B61,'D-1 Off-Site Habitat Baseline'!T65:T68)</f>
        <v>0</v>
      </c>
      <c r="D61" s="1369">
        <f>SUMIF('D-1 Off-Site Habitat Baseline'!$AF$11:$AF$258,'Off-site gain site summary'!$B$7,'D-1 Off-Site Habitat Baseline'!$X$11:$X$258)</f>
        <v>0</v>
      </c>
      <c r="E61" s="1370"/>
      <c r="F61" s="1369">
        <f>SUMIF('D-3 Off-Site Habitat Enhancment'!$AU$12:$AU$258,'Off-site gain site summary'!B61,'D-3 Off-Site Habitat Enhancment'!$AQ$12:$AQ$258)</f>
        <v>0</v>
      </c>
      <c r="G61" s="1370"/>
      <c r="H61" s="1369">
        <f>SUMIF('D-2 Off-Site Habitat Creation'!$AF$11:$AF$256,'Off-site gain site summary'!B61,'D-2 Off-Site Habitat Creation'!$AB$11:$AB$256)</f>
        <v>0</v>
      </c>
      <c r="I61" s="1370"/>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71"/>
      <c r="AF61" s="1371"/>
    </row>
    <row r="62" spans="1:32" x14ac:dyDescent="0.3">
      <c r="A62" s="757">
        <f>'D-1 Off-Site Habitat Baseline'!AF66</f>
        <v>0</v>
      </c>
      <c r="B62" s="764"/>
      <c r="C62" s="762">
        <f>SUMIF('D-1 Off-Site Habitat Baseline'!AF66:AF69,B62,'D-1 Off-Site Habitat Baseline'!T66:T69)</f>
        <v>0</v>
      </c>
      <c r="D62" s="1369">
        <f>SUMIF('D-1 Off-Site Habitat Baseline'!$AF$11:$AF$258,'Off-site gain site summary'!$B$7,'D-1 Off-Site Habitat Baseline'!$X$11:$X$258)</f>
        <v>0</v>
      </c>
      <c r="E62" s="1370"/>
      <c r="F62" s="1369">
        <f>SUMIF('D-3 Off-Site Habitat Enhancment'!$AU$12:$AU$258,'Off-site gain site summary'!B62,'D-3 Off-Site Habitat Enhancment'!$AQ$12:$AQ$258)</f>
        <v>0</v>
      </c>
      <c r="G62" s="1370"/>
      <c r="H62" s="1369">
        <f>SUMIF('D-2 Off-Site Habitat Creation'!$AF$11:$AF$256,'Off-site gain site summary'!B62,'D-2 Off-Site Habitat Creation'!$AB$11:$AB$256)</f>
        <v>0</v>
      </c>
      <c r="I62" s="1370"/>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71"/>
      <c r="AF62" s="1371"/>
    </row>
    <row r="63" spans="1:32" x14ac:dyDescent="0.3">
      <c r="A63" s="757">
        <f>'D-1 Off-Site Habitat Baseline'!AF67</f>
        <v>0</v>
      </c>
      <c r="B63" s="764"/>
      <c r="C63" s="762">
        <f>SUMIF('D-1 Off-Site Habitat Baseline'!AF67:AF70,B63,'D-1 Off-Site Habitat Baseline'!T67:T70)</f>
        <v>0</v>
      </c>
      <c r="D63" s="1369">
        <f>SUMIF('D-1 Off-Site Habitat Baseline'!$AF$11:$AF$258,'Off-site gain site summary'!$B$7,'D-1 Off-Site Habitat Baseline'!$X$11:$X$258)</f>
        <v>0</v>
      </c>
      <c r="E63" s="1370"/>
      <c r="F63" s="1369">
        <f>SUMIF('D-3 Off-Site Habitat Enhancment'!$AU$12:$AU$258,'Off-site gain site summary'!B63,'D-3 Off-Site Habitat Enhancment'!$AQ$12:$AQ$258)</f>
        <v>0</v>
      </c>
      <c r="G63" s="1370"/>
      <c r="H63" s="1369">
        <f>SUMIF('D-2 Off-Site Habitat Creation'!$AF$11:$AF$256,'Off-site gain site summary'!B63,'D-2 Off-Site Habitat Creation'!$AB$11:$AB$256)</f>
        <v>0</v>
      </c>
      <c r="I63" s="1370"/>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71"/>
      <c r="AF63" s="1371"/>
    </row>
    <row r="64" spans="1:32" x14ac:dyDescent="0.3">
      <c r="A64" s="757">
        <f>'D-1 Off-Site Habitat Baseline'!AF68</f>
        <v>0</v>
      </c>
      <c r="B64" s="764"/>
      <c r="C64" s="762">
        <f>SUMIF('D-1 Off-Site Habitat Baseline'!AF68:AF71,B64,'D-1 Off-Site Habitat Baseline'!T68:T71)</f>
        <v>0</v>
      </c>
      <c r="D64" s="1369">
        <f>SUMIF('D-1 Off-Site Habitat Baseline'!$AF$11:$AF$258,'Off-site gain site summary'!$B$7,'D-1 Off-Site Habitat Baseline'!$X$11:$X$258)</f>
        <v>0</v>
      </c>
      <c r="E64" s="1370"/>
      <c r="F64" s="1369">
        <f>SUMIF('D-3 Off-Site Habitat Enhancment'!$AU$12:$AU$258,'Off-site gain site summary'!B64,'D-3 Off-Site Habitat Enhancment'!$AQ$12:$AQ$258)</f>
        <v>0</v>
      </c>
      <c r="G64" s="1370"/>
      <c r="H64" s="1369">
        <f>SUMIF('D-2 Off-Site Habitat Creation'!$AF$11:$AF$256,'Off-site gain site summary'!B64,'D-2 Off-Site Habitat Creation'!$AB$11:$AB$256)</f>
        <v>0</v>
      </c>
      <c r="I64" s="1370"/>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71"/>
      <c r="AF64" s="1371"/>
    </row>
    <row r="65" spans="1:32" x14ac:dyDescent="0.3">
      <c r="A65" s="757">
        <f>'D-1 Off-Site Habitat Baseline'!AF69</f>
        <v>0</v>
      </c>
      <c r="B65" s="764"/>
      <c r="C65" s="762">
        <f>SUMIF('D-1 Off-Site Habitat Baseline'!AF69:AF72,B65,'D-1 Off-Site Habitat Baseline'!T69:T72)</f>
        <v>0</v>
      </c>
      <c r="D65" s="1369">
        <f>SUMIF('D-1 Off-Site Habitat Baseline'!$AF$11:$AF$258,'Off-site gain site summary'!$B$7,'D-1 Off-Site Habitat Baseline'!$X$11:$X$258)</f>
        <v>0</v>
      </c>
      <c r="E65" s="1370"/>
      <c r="F65" s="1369">
        <f>SUMIF('D-3 Off-Site Habitat Enhancment'!$AU$12:$AU$258,'Off-site gain site summary'!B65,'D-3 Off-Site Habitat Enhancment'!$AQ$12:$AQ$258)</f>
        <v>0</v>
      </c>
      <c r="G65" s="1370"/>
      <c r="H65" s="1369">
        <f>SUMIF('D-2 Off-Site Habitat Creation'!$AF$11:$AF$256,'Off-site gain site summary'!B65,'D-2 Off-Site Habitat Creation'!$AB$11:$AB$256)</f>
        <v>0</v>
      </c>
      <c r="I65" s="1370"/>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71"/>
      <c r="AF65" s="1371"/>
    </row>
    <row r="66" spans="1:32" x14ac:dyDescent="0.3">
      <c r="A66" s="757">
        <f>'D-1 Off-Site Habitat Baseline'!AF70</f>
        <v>0</v>
      </c>
      <c r="B66" s="764"/>
      <c r="C66" s="762">
        <f>SUMIF('D-1 Off-Site Habitat Baseline'!AF70:AF73,B66,'D-1 Off-Site Habitat Baseline'!T70:T73)</f>
        <v>0</v>
      </c>
      <c r="D66" s="1369">
        <f>SUMIF('D-1 Off-Site Habitat Baseline'!$AF$11:$AF$258,'Off-site gain site summary'!$B$7,'D-1 Off-Site Habitat Baseline'!$X$11:$X$258)</f>
        <v>0</v>
      </c>
      <c r="E66" s="1370"/>
      <c r="F66" s="1369">
        <f>SUMIF('D-3 Off-Site Habitat Enhancment'!$AU$12:$AU$258,'Off-site gain site summary'!B66,'D-3 Off-Site Habitat Enhancment'!$AQ$12:$AQ$258)</f>
        <v>0</v>
      </c>
      <c r="G66" s="1370"/>
      <c r="H66" s="1369">
        <f>SUMIF('D-2 Off-Site Habitat Creation'!$AF$11:$AF$256,'Off-site gain site summary'!B66,'D-2 Off-Site Habitat Creation'!$AB$11:$AB$256)</f>
        <v>0</v>
      </c>
      <c r="I66" s="1370"/>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71"/>
      <c r="AF66" s="1371"/>
    </row>
    <row r="67" spans="1:32" x14ac:dyDescent="0.3">
      <c r="A67" s="757">
        <f>'D-1 Off-Site Habitat Baseline'!AF71</f>
        <v>0</v>
      </c>
      <c r="B67" s="764"/>
      <c r="C67" s="762">
        <f>SUMIF('D-1 Off-Site Habitat Baseline'!AF71:AF74,B67,'D-1 Off-Site Habitat Baseline'!T71:T74)</f>
        <v>0</v>
      </c>
      <c r="D67" s="1369">
        <f>SUMIF('D-1 Off-Site Habitat Baseline'!$AF$11:$AF$258,'Off-site gain site summary'!$B$7,'D-1 Off-Site Habitat Baseline'!$X$11:$X$258)</f>
        <v>0</v>
      </c>
      <c r="E67" s="1370"/>
      <c r="F67" s="1369">
        <f>SUMIF('D-3 Off-Site Habitat Enhancment'!$AU$12:$AU$258,'Off-site gain site summary'!B67,'D-3 Off-Site Habitat Enhancment'!$AQ$12:$AQ$258)</f>
        <v>0</v>
      </c>
      <c r="G67" s="1370"/>
      <c r="H67" s="1369">
        <f>SUMIF('D-2 Off-Site Habitat Creation'!$AF$11:$AF$256,'Off-site gain site summary'!B67,'D-2 Off-Site Habitat Creation'!$AB$11:$AB$256)</f>
        <v>0</v>
      </c>
      <c r="I67" s="1370"/>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71"/>
      <c r="AF67" s="1371"/>
    </row>
    <row r="68" spans="1:32" x14ac:dyDescent="0.3">
      <c r="A68" s="757">
        <f>'D-1 Off-Site Habitat Baseline'!AF72</f>
        <v>0</v>
      </c>
      <c r="B68" s="764"/>
      <c r="C68" s="762">
        <f>SUMIF('D-1 Off-Site Habitat Baseline'!AF72:AF75,B68,'D-1 Off-Site Habitat Baseline'!T72:T75)</f>
        <v>0</v>
      </c>
      <c r="D68" s="1369">
        <f>SUMIF('D-1 Off-Site Habitat Baseline'!$AF$11:$AF$258,'Off-site gain site summary'!$B$7,'D-1 Off-Site Habitat Baseline'!$X$11:$X$258)</f>
        <v>0</v>
      </c>
      <c r="E68" s="1370"/>
      <c r="F68" s="1369">
        <f>SUMIF('D-3 Off-Site Habitat Enhancment'!$AU$12:$AU$258,'Off-site gain site summary'!B68,'D-3 Off-Site Habitat Enhancment'!$AQ$12:$AQ$258)</f>
        <v>0</v>
      </c>
      <c r="G68" s="1370"/>
      <c r="H68" s="1369">
        <f>SUMIF('D-2 Off-Site Habitat Creation'!$AF$11:$AF$256,'Off-site gain site summary'!B68,'D-2 Off-Site Habitat Creation'!$AB$11:$AB$256)</f>
        <v>0</v>
      </c>
      <c r="I68" s="1370"/>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71"/>
      <c r="AF68" s="1371"/>
    </row>
    <row r="69" spans="1:32" x14ac:dyDescent="0.3">
      <c r="A69" s="757">
        <f>'D-1 Off-Site Habitat Baseline'!AF73</f>
        <v>0</v>
      </c>
      <c r="B69" s="764"/>
      <c r="C69" s="762">
        <f>SUMIF('D-1 Off-Site Habitat Baseline'!AF73:AF76,B69,'D-1 Off-Site Habitat Baseline'!T73:T76)</f>
        <v>0</v>
      </c>
      <c r="D69" s="1369">
        <f>SUMIF('D-1 Off-Site Habitat Baseline'!$AF$11:$AF$258,'Off-site gain site summary'!$B$7,'D-1 Off-Site Habitat Baseline'!$X$11:$X$258)</f>
        <v>0</v>
      </c>
      <c r="E69" s="1370"/>
      <c r="F69" s="1369">
        <f>SUMIF('D-3 Off-Site Habitat Enhancment'!$AU$12:$AU$258,'Off-site gain site summary'!B69,'D-3 Off-Site Habitat Enhancment'!$AQ$12:$AQ$258)</f>
        <v>0</v>
      </c>
      <c r="G69" s="1370"/>
      <c r="H69" s="1369">
        <f>SUMIF('D-2 Off-Site Habitat Creation'!$AF$11:$AF$256,'Off-site gain site summary'!B69,'D-2 Off-Site Habitat Creation'!$AB$11:$AB$256)</f>
        <v>0</v>
      </c>
      <c r="I69" s="1370"/>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71"/>
      <c r="AF69" s="1371"/>
    </row>
    <row r="70" spans="1:32" x14ac:dyDescent="0.3">
      <c r="A70" s="757">
        <f>'D-1 Off-Site Habitat Baseline'!AF74</f>
        <v>0</v>
      </c>
      <c r="B70" s="764"/>
      <c r="C70" s="762">
        <f>SUMIF('D-1 Off-Site Habitat Baseline'!AF74:AF77,B70,'D-1 Off-Site Habitat Baseline'!T74:T77)</f>
        <v>0</v>
      </c>
      <c r="D70" s="1369">
        <f>SUMIF('D-1 Off-Site Habitat Baseline'!$AF$11:$AF$258,'Off-site gain site summary'!$B$7,'D-1 Off-Site Habitat Baseline'!$X$11:$X$258)</f>
        <v>0</v>
      </c>
      <c r="E70" s="1370"/>
      <c r="F70" s="1369">
        <f>SUMIF('D-3 Off-Site Habitat Enhancment'!$AU$12:$AU$258,'Off-site gain site summary'!B70,'D-3 Off-Site Habitat Enhancment'!$AQ$12:$AQ$258)</f>
        <v>0</v>
      </c>
      <c r="G70" s="1370"/>
      <c r="H70" s="1369">
        <f>SUMIF('D-2 Off-Site Habitat Creation'!$AF$11:$AF$256,'Off-site gain site summary'!B70,'D-2 Off-Site Habitat Creation'!$AB$11:$AB$256)</f>
        <v>0</v>
      </c>
      <c r="I70" s="1370"/>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71"/>
      <c r="AF70" s="1371"/>
    </row>
    <row r="71" spans="1:32" x14ac:dyDescent="0.3">
      <c r="A71" s="757">
        <f>'D-1 Off-Site Habitat Baseline'!AF75</f>
        <v>0</v>
      </c>
      <c r="B71" s="764"/>
      <c r="C71" s="762">
        <f>SUMIF('D-1 Off-Site Habitat Baseline'!AF75:AF78,B71,'D-1 Off-Site Habitat Baseline'!T75:T78)</f>
        <v>0</v>
      </c>
      <c r="D71" s="1369">
        <f>SUMIF('D-1 Off-Site Habitat Baseline'!$AF$11:$AF$258,'Off-site gain site summary'!$B$7,'D-1 Off-Site Habitat Baseline'!$X$11:$X$258)</f>
        <v>0</v>
      </c>
      <c r="E71" s="1370"/>
      <c r="F71" s="1369">
        <f>SUMIF('D-3 Off-Site Habitat Enhancment'!$AU$12:$AU$258,'Off-site gain site summary'!B71,'D-3 Off-Site Habitat Enhancment'!$AQ$12:$AQ$258)</f>
        <v>0</v>
      </c>
      <c r="G71" s="1370"/>
      <c r="H71" s="1369">
        <f>SUMIF('D-2 Off-Site Habitat Creation'!$AF$11:$AF$256,'Off-site gain site summary'!B71,'D-2 Off-Site Habitat Creation'!$AB$11:$AB$256)</f>
        <v>0</v>
      </c>
      <c r="I71" s="1370"/>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71"/>
      <c r="AF71" s="1371"/>
    </row>
    <row r="72" spans="1:32" x14ac:dyDescent="0.3">
      <c r="A72" s="757">
        <f>'D-1 Off-Site Habitat Baseline'!AF76</f>
        <v>0</v>
      </c>
      <c r="B72" s="764"/>
      <c r="C72" s="762">
        <f>SUMIF('D-1 Off-Site Habitat Baseline'!AF76:AF79,B72,'D-1 Off-Site Habitat Baseline'!T76:T79)</f>
        <v>0</v>
      </c>
      <c r="D72" s="1369">
        <f>SUMIF('D-1 Off-Site Habitat Baseline'!$AF$11:$AF$258,'Off-site gain site summary'!$B$7,'D-1 Off-Site Habitat Baseline'!$X$11:$X$258)</f>
        <v>0</v>
      </c>
      <c r="E72" s="1370"/>
      <c r="F72" s="1369">
        <f>SUMIF('D-3 Off-Site Habitat Enhancment'!$AU$12:$AU$258,'Off-site gain site summary'!B72,'D-3 Off-Site Habitat Enhancment'!$AQ$12:$AQ$258)</f>
        <v>0</v>
      </c>
      <c r="G72" s="1370"/>
      <c r="H72" s="1369">
        <f>SUMIF('D-2 Off-Site Habitat Creation'!$AF$11:$AF$256,'Off-site gain site summary'!B72,'D-2 Off-Site Habitat Creation'!$AB$11:$AB$256)</f>
        <v>0</v>
      </c>
      <c r="I72" s="1370"/>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71"/>
      <c r="AF72" s="1371"/>
    </row>
    <row r="73" spans="1:32" x14ac:dyDescent="0.3">
      <c r="A73" s="757">
        <f>'D-1 Off-Site Habitat Baseline'!AF77</f>
        <v>0</v>
      </c>
      <c r="B73" s="764"/>
      <c r="C73" s="762">
        <f>SUMIF('D-1 Off-Site Habitat Baseline'!AF77:AF80,B73,'D-1 Off-Site Habitat Baseline'!T77:T80)</f>
        <v>0</v>
      </c>
      <c r="D73" s="1369">
        <f>SUMIF('D-1 Off-Site Habitat Baseline'!$AF$11:$AF$258,'Off-site gain site summary'!$B$7,'D-1 Off-Site Habitat Baseline'!$X$11:$X$258)</f>
        <v>0</v>
      </c>
      <c r="E73" s="1370"/>
      <c r="F73" s="1369">
        <f>SUMIF('D-3 Off-Site Habitat Enhancment'!$AU$12:$AU$258,'Off-site gain site summary'!B73,'D-3 Off-Site Habitat Enhancment'!$AQ$12:$AQ$258)</f>
        <v>0</v>
      </c>
      <c r="G73" s="1370"/>
      <c r="H73" s="1369">
        <f>SUMIF('D-2 Off-Site Habitat Creation'!$AF$11:$AF$256,'Off-site gain site summary'!B73,'D-2 Off-Site Habitat Creation'!$AB$11:$AB$256)</f>
        <v>0</v>
      </c>
      <c r="I73" s="1370"/>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71"/>
      <c r="AF73" s="1371"/>
    </row>
    <row r="74" spans="1:32" x14ac:dyDescent="0.3">
      <c r="A74" s="757">
        <f>'D-1 Off-Site Habitat Baseline'!AF78</f>
        <v>0</v>
      </c>
      <c r="B74" s="764"/>
      <c r="C74" s="762">
        <f>SUMIF('D-1 Off-Site Habitat Baseline'!AF78:AF81,B74,'D-1 Off-Site Habitat Baseline'!T78:T81)</f>
        <v>0</v>
      </c>
      <c r="D74" s="1369">
        <f>SUMIF('D-1 Off-Site Habitat Baseline'!$AF$11:$AF$258,'Off-site gain site summary'!$B$7,'D-1 Off-Site Habitat Baseline'!$X$11:$X$258)</f>
        <v>0</v>
      </c>
      <c r="E74" s="1370"/>
      <c r="F74" s="1369">
        <f>SUMIF('D-3 Off-Site Habitat Enhancment'!$AU$12:$AU$258,'Off-site gain site summary'!B74,'D-3 Off-Site Habitat Enhancment'!$AQ$12:$AQ$258)</f>
        <v>0</v>
      </c>
      <c r="G74" s="1370"/>
      <c r="H74" s="1369">
        <f>SUMIF('D-2 Off-Site Habitat Creation'!$AF$11:$AF$256,'Off-site gain site summary'!B74,'D-2 Off-Site Habitat Creation'!$AB$11:$AB$256)</f>
        <v>0</v>
      </c>
      <c r="I74" s="1370"/>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71"/>
      <c r="AF74" s="1371"/>
    </row>
    <row r="75" spans="1:32" x14ac:dyDescent="0.3">
      <c r="A75" s="757">
        <f>'D-1 Off-Site Habitat Baseline'!AF79</f>
        <v>0</v>
      </c>
      <c r="B75" s="764"/>
      <c r="C75" s="762">
        <f>SUMIF('D-1 Off-Site Habitat Baseline'!AF79:AF82,B75,'D-1 Off-Site Habitat Baseline'!T79:T82)</f>
        <v>0</v>
      </c>
      <c r="D75" s="1369">
        <f>SUMIF('D-1 Off-Site Habitat Baseline'!$AF$11:$AF$258,'Off-site gain site summary'!$B$7,'D-1 Off-Site Habitat Baseline'!$X$11:$X$258)</f>
        <v>0</v>
      </c>
      <c r="E75" s="1370"/>
      <c r="F75" s="1369">
        <f>SUMIF('D-3 Off-Site Habitat Enhancment'!$AU$12:$AU$258,'Off-site gain site summary'!B75,'D-3 Off-Site Habitat Enhancment'!$AQ$12:$AQ$258)</f>
        <v>0</v>
      </c>
      <c r="G75" s="1370"/>
      <c r="H75" s="1369">
        <f>SUMIF('D-2 Off-Site Habitat Creation'!$AF$11:$AF$256,'Off-site gain site summary'!B75,'D-2 Off-Site Habitat Creation'!$AB$11:$AB$256)</f>
        <v>0</v>
      </c>
      <c r="I75" s="1370"/>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71"/>
      <c r="AF75" s="1371"/>
    </row>
    <row r="76" spans="1:32" x14ac:dyDescent="0.3">
      <c r="A76" s="757">
        <f>'D-1 Off-Site Habitat Baseline'!AF80</f>
        <v>0</v>
      </c>
      <c r="B76" s="764"/>
      <c r="C76" s="762">
        <f>SUMIF('D-1 Off-Site Habitat Baseline'!AF80:AF83,B76,'D-1 Off-Site Habitat Baseline'!T80:T83)</f>
        <v>0</v>
      </c>
      <c r="D76" s="1369">
        <f>SUMIF('D-1 Off-Site Habitat Baseline'!$AF$11:$AF$258,'Off-site gain site summary'!$B$7,'D-1 Off-Site Habitat Baseline'!$X$11:$X$258)</f>
        <v>0</v>
      </c>
      <c r="E76" s="1370"/>
      <c r="F76" s="1369">
        <f>SUMIF('D-3 Off-Site Habitat Enhancment'!$AU$12:$AU$258,'Off-site gain site summary'!B76,'D-3 Off-Site Habitat Enhancment'!$AQ$12:$AQ$258)</f>
        <v>0</v>
      </c>
      <c r="G76" s="1370"/>
      <c r="H76" s="1369">
        <f>SUMIF('D-2 Off-Site Habitat Creation'!$AF$11:$AF$256,'Off-site gain site summary'!B76,'D-2 Off-Site Habitat Creation'!$AB$11:$AB$256)</f>
        <v>0</v>
      </c>
      <c r="I76" s="1370"/>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71"/>
      <c r="AF76" s="1371"/>
    </row>
    <row r="77" spans="1:32" x14ac:dyDescent="0.3">
      <c r="A77" s="757">
        <f>'D-1 Off-Site Habitat Baseline'!AF81</f>
        <v>0</v>
      </c>
      <c r="B77" s="764"/>
      <c r="C77" s="762">
        <f>SUMIF('D-1 Off-Site Habitat Baseline'!AF81:AF84,B77,'D-1 Off-Site Habitat Baseline'!T81:T84)</f>
        <v>0</v>
      </c>
      <c r="D77" s="1369">
        <f>SUMIF('D-1 Off-Site Habitat Baseline'!$AF$11:$AF$258,'Off-site gain site summary'!$B$7,'D-1 Off-Site Habitat Baseline'!$X$11:$X$258)</f>
        <v>0</v>
      </c>
      <c r="E77" s="1370"/>
      <c r="F77" s="1369">
        <f>SUMIF('D-3 Off-Site Habitat Enhancment'!$AU$12:$AU$258,'Off-site gain site summary'!B77,'D-3 Off-Site Habitat Enhancment'!$AQ$12:$AQ$258)</f>
        <v>0</v>
      </c>
      <c r="G77" s="1370"/>
      <c r="H77" s="1369">
        <f>SUMIF('D-2 Off-Site Habitat Creation'!$AF$11:$AF$256,'Off-site gain site summary'!B77,'D-2 Off-Site Habitat Creation'!$AB$11:$AB$256)</f>
        <v>0</v>
      </c>
      <c r="I77" s="1370"/>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71"/>
      <c r="AF77" s="1371"/>
    </row>
    <row r="78" spans="1:32" x14ac:dyDescent="0.3">
      <c r="A78" s="757">
        <f>'D-1 Off-Site Habitat Baseline'!AF82</f>
        <v>0</v>
      </c>
      <c r="B78" s="764"/>
      <c r="C78" s="762">
        <f>SUMIF('D-1 Off-Site Habitat Baseline'!AF82:AF85,B78,'D-1 Off-Site Habitat Baseline'!T82:T85)</f>
        <v>0</v>
      </c>
      <c r="D78" s="1369">
        <f>SUMIF('D-1 Off-Site Habitat Baseline'!$AF$11:$AF$258,'Off-site gain site summary'!$B$7,'D-1 Off-Site Habitat Baseline'!$X$11:$X$258)</f>
        <v>0</v>
      </c>
      <c r="E78" s="1370"/>
      <c r="F78" s="1369">
        <f>SUMIF('D-3 Off-Site Habitat Enhancment'!$AU$12:$AU$258,'Off-site gain site summary'!B78,'D-3 Off-Site Habitat Enhancment'!$AQ$12:$AQ$258)</f>
        <v>0</v>
      </c>
      <c r="G78" s="1370"/>
      <c r="H78" s="1369">
        <f>SUMIF('D-2 Off-Site Habitat Creation'!$AF$11:$AF$256,'Off-site gain site summary'!B78,'D-2 Off-Site Habitat Creation'!$AB$11:$AB$256)</f>
        <v>0</v>
      </c>
      <c r="I78" s="1370"/>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71"/>
      <c r="AF78" s="1371"/>
    </row>
    <row r="79" spans="1:32" x14ac:dyDescent="0.3">
      <c r="A79" s="757">
        <f>'D-1 Off-Site Habitat Baseline'!AF83</f>
        <v>0</v>
      </c>
      <c r="B79" s="764"/>
      <c r="C79" s="762">
        <f>SUMIF('D-1 Off-Site Habitat Baseline'!AF83:AF86,B79,'D-1 Off-Site Habitat Baseline'!T83:T86)</f>
        <v>0</v>
      </c>
      <c r="D79" s="1369">
        <f>SUMIF('D-1 Off-Site Habitat Baseline'!$AF$11:$AF$258,'Off-site gain site summary'!$B$7,'D-1 Off-Site Habitat Baseline'!$X$11:$X$258)</f>
        <v>0</v>
      </c>
      <c r="E79" s="1370"/>
      <c r="F79" s="1369">
        <f>SUMIF('D-3 Off-Site Habitat Enhancment'!$AU$12:$AU$258,'Off-site gain site summary'!B79,'D-3 Off-Site Habitat Enhancment'!$AQ$12:$AQ$258)</f>
        <v>0</v>
      </c>
      <c r="G79" s="1370"/>
      <c r="H79" s="1369">
        <f>SUMIF('D-2 Off-Site Habitat Creation'!$AF$11:$AF$256,'Off-site gain site summary'!B79,'D-2 Off-Site Habitat Creation'!$AB$11:$AB$256)</f>
        <v>0</v>
      </c>
      <c r="I79" s="1370"/>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71"/>
      <c r="AF79" s="1371"/>
    </row>
    <row r="80" spans="1:32" x14ac:dyDescent="0.3">
      <c r="A80" s="757">
        <f>'D-1 Off-Site Habitat Baseline'!AF84</f>
        <v>0</v>
      </c>
      <c r="B80" s="764"/>
      <c r="C80" s="762">
        <f>SUMIF('D-1 Off-Site Habitat Baseline'!AF84:AF87,B80,'D-1 Off-Site Habitat Baseline'!T84:T87)</f>
        <v>0</v>
      </c>
      <c r="D80" s="1369">
        <f>SUMIF('D-1 Off-Site Habitat Baseline'!$AF$11:$AF$258,'Off-site gain site summary'!$B$7,'D-1 Off-Site Habitat Baseline'!$X$11:$X$258)</f>
        <v>0</v>
      </c>
      <c r="E80" s="1370"/>
      <c r="F80" s="1369">
        <f>SUMIF('D-3 Off-Site Habitat Enhancment'!$AU$12:$AU$258,'Off-site gain site summary'!B80,'D-3 Off-Site Habitat Enhancment'!$AQ$12:$AQ$258)</f>
        <v>0</v>
      </c>
      <c r="G80" s="1370"/>
      <c r="H80" s="1369">
        <f>SUMIF('D-2 Off-Site Habitat Creation'!$AF$11:$AF$256,'Off-site gain site summary'!B80,'D-2 Off-Site Habitat Creation'!$AB$11:$AB$256)</f>
        <v>0</v>
      </c>
      <c r="I80" s="1370"/>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71"/>
      <c r="AF80" s="1371"/>
    </row>
    <row r="81" spans="1:32" x14ac:dyDescent="0.3">
      <c r="A81" s="757">
        <f>'D-1 Off-Site Habitat Baseline'!AF85</f>
        <v>0</v>
      </c>
      <c r="B81" s="764"/>
      <c r="C81" s="762">
        <f>SUMIF('D-1 Off-Site Habitat Baseline'!AF85:AF88,B81,'D-1 Off-Site Habitat Baseline'!T85:T88)</f>
        <v>0</v>
      </c>
      <c r="D81" s="1369">
        <f>SUMIF('D-1 Off-Site Habitat Baseline'!$AF$11:$AF$258,'Off-site gain site summary'!$B$7,'D-1 Off-Site Habitat Baseline'!$X$11:$X$258)</f>
        <v>0</v>
      </c>
      <c r="E81" s="1370"/>
      <c r="F81" s="1369">
        <f>SUMIF('D-3 Off-Site Habitat Enhancment'!$AU$12:$AU$258,'Off-site gain site summary'!B81,'D-3 Off-Site Habitat Enhancment'!$AQ$12:$AQ$258)</f>
        <v>0</v>
      </c>
      <c r="G81" s="1370"/>
      <c r="H81" s="1369">
        <f>SUMIF('D-2 Off-Site Habitat Creation'!$AF$11:$AF$256,'Off-site gain site summary'!B81,'D-2 Off-Site Habitat Creation'!$AB$11:$AB$256)</f>
        <v>0</v>
      </c>
      <c r="I81" s="1370"/>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71"/>
      <c r="AF81" s="1371"/>
    </row>
    <row r="82" spans="1:32" x14ac:dyDescent="0.3">
      <c r="A82" s="757">
        <f>'D-1 Off-Site Habitat Baseline'!AF86</f>
        <v>0</v>
      </c>
      <c r="B82" s="764"/>
      <c r="C82" s="762">
        <f>SUMIF('D-1 Off-Site Habitat Baseline'!AF86:AF89,B82,'D-1 Off-Site Habitat Baseline'!T86:T89)</f>
        <v>0</v>
      </c>
      <c r="D82" s="1369">
        <f>SUMIF('D-1 Off-Site Habitat Baseline'!$AF$11:$AF$258,'Off-site gain site summary'!$B$7,'D-1 Off-Site Habitat Baseline'!$X$11:$X$258)</f>
        <v>0</v>
      </c>
      <c r="E82" s="1370"/>
      <c r="F82" s="1369">
        <f>SUMIF('D-3 Off-Site Habitat Enhancment'!$AU$12:$AU$258,'Off-site gain site summary'!B82,'D-3 Off-Site Habitat Enhancment'!$AQ$12:$AQ$258)</f>
        <v>0</v>
      </c>
      <c r="G82" s="1370"/>
      <c r="H82" s="1369">
        <f>SUMIF('D-2 Off-Site Habitat Creation'!$AF$11:$AF$256,'Off-site gain site summary'!B82,'D-2 Off-Site Habitat Creation'!$AB$11:$AB$256)</f>
        <v>0</v>
      </c>
      <c r="I82" s="1370"/>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71"/>
      <c r="AF82" s="1371"/>
    </row>
    <row r="83" spans="1:32" x14ac:dyDescent="0.3">
      <c r="A83" s="757">
        <f>'D-1 Off-Site Habitat Baseline'!AF87</f>
        <v>0</v>
      </c>
      <c r="B83" s="764"/>
      <c r="C83" s="762">
        <f>SUMIF('D-1 Off-Site Habitat Baseline'!AF87:AF90,B83,'D-1 Off-Site Habitat Baseline'!T87:T90)</f>
        <v>0</v>
      </c>
      <c r="D83" s="1369">
        <f>SUMIF('D-1 Off-Site Habitat Baseline'!$AF$11:$AF$258,'Off-site gain site summary'!$B$7,'D-1 Off-Site Habitat Baseline'!$X$11:$X$258)</f>
        <v>0</v>
      </c>
      <c r="E83" s="1370"/>
      <c r="F83" s="1369">
        <f>SUMIF('D-3 Off-Site Habitat Enhancment'!$AU$12:$AU$258,'Off-site gain site summary'!B83,'D-3 Off-Site Habitat Enhancment'!$AQ$12:$AQ$258)</f>
        <v>0</v>
      </c>
      <c r="G83" s="1370"/>
      <c r="H83" s="1369">
        <f>SUMIF('D-2 Off-Site Habitat Creation'!$AF$11:$AF$256,'Off-site gain site summary'!B83,'D-2 Off-Site Habitat Creation'!$AB$11:$AB$256)</f>
        <v>0</v>
      </c>
      <c r="I83" s="1370"/>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71"/>
      <c r="AF83" s="1371"/>
    </row>
    <row r="84" spans="1:32" x14ac:dyDescent="0.3">
      <c r="A84" s="757">
        <f>'D-1 Off-Site Habitat Baseline'!AF88</f>
        <v>0</v>
      </c>
      <c r="B84" s="764"/>
      <c r="C84" s="762">
        <f>SUMIF('D-1 Off-Site Habitat Baseline'!AF88:AF91,B84,'D-1 Off-Site Habitat Baseline'!T88:T91)</f>
        <v>0</v>
      </c>
      <c r="D84" s="1369">
        <f>SUMIF('D-1 Off-Site Habitat Baseline'!$AF$11:$AF$258,'Off-site gain site summary'!$B$7,'D-1 Off-Site Habitat Baseline'!$X$11:$X$258)</f>
        <v>0</v>
      </c>
      <c r="E84" s="1370"/>
      <c r="F84" s="1369">
        <f>SUMIF('D-3 Off-Site Habitat Enhancment'!$AU$12:$AU$258,'Off-site gain site summary'!B84,'D-3 Off-Site Habitat Enhancment'!$AQ$12:$AQ$258)</f>
        <v>0</v>
      </c>
      <c r="G84" s="1370"/>
      <c r="H84" s="1369">
        <f>SUMIF('D-2 Off-Site Habitat Creation'!$AF$11:$AF$256,'Off-site gain site summary'!B84,'D-2 Off-Site Habitat Creation'!$AB$11:$AB$256)</f>
        <v>0</v>
      </c>
      <c r="I84" s="1370"/>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71"/>
      <c r="AF84" s="1371"/>
    </row>
    <row r="85" spans="1:32" x14ac:dyDescent="0.3">
      <c r="A85" s="757">
        <f>'D-1 Off-Site Habitat Baseline'!AF89</f>
        <v>0</v>
      </c>
      <c r="B85" s="764"/>
      <c r="C85" s="762">
        <f>SUMIF('D-1 Off-Site Habitat Baseline'!AF89:AF92,B85,'D-1 Off-Site Habitat Baseline'!T89:T92)</f>
        <v>0</v>
      </c>
      <c r="D85" s="1369">
        <f>SUMIF('D-1 Off-Site Habitat Baseline'!$AF$11:$AF$258,'Off-site gain site summary'!$B$7,'D-1 Off-Site Habitat Baseline'!$X$11:$X$258)</f>
        <v>0</v>
      </c>
      <c r="E85" s="1370"/>
      <c r="F85" s="1369">
        <f>SUMIF('D-3 Off-Site Habitat Enhancment'!$AU$12:$AU$258,'Off-site gain site summary'!B85,'D-3 Off-Site Habitat Enhancment'!$AQ$12:$AQ$258)</f>
        <v>0</v>
      </c>
      <c r="G85" s="1370"/>
      <c r="H85" s="1369">
        <f>SUMIF('D-2 Off-Site Habitat Creation'!$AF$11:$AF$256,'Off-site gain site summary'!B85,'D-2 Off-Site Habitat Creation'!$AB$11:$AB$256)</f>
        <v>0</v>
      </c>
      <c r="I85" s="1370"/>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71"/>
      <c r="AF85" s="1371"/>
    </row>
    <row r="86" spans="1:32" x14ac:dyDescent="0.3">
      <c r="A86" s="757">
        <f>'D-1 Off-Site Habitat Baseline'!AF90</f>
        <v>0</v>
      </c>
      <c r="B86" s="764"/>
      <c r="C86" s="762">
        <f>SUMIF('D-1 Off-Site Habitat Baseline'!AF90:AF93,B86,'D-1 Off-Site Habitat Baseline'!T90:T93)</f>
        <v>0</v>
      </c>
      <c r="D86" s="1369">
        <f>SUMIF('D-1 Off-Site Habitat Baseline'!$AF$11:$AF$258,'Off-site gain site summary'!$B$7,'D-1 Off-Site Habitat Baseline'!$X$11:$X$258)</f>
        <v>0</v>
      </c>
      <c r="E86" s="1370"/>
      <c r="F86" s="1369">
        <f>SUMIF('D-3 Off-Site Habitat Enhancment'!$AU$12:$AU$258,'Off-site gain site summary'!B86,'D-3 Off-Site Habitat Enhancment'!$AQ$12:$AQ$258)</f>
        <v>0</v>
      </c>
      <c r="G86" s="1370"/>
      <c r="H86" s="1369">
        <f>SUMIF('D-2 Off-Site Habitat Creation'!$AF$11:$AF$256,'Off-site gain site summary'!B86,'D-2 Off-Site Habitat Creation'!$AB$11:$AB$256)</f>
        <v>0</v>
      </c>
      <c r="I86" s="1370"/>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71"/>
      <c r="AF86" s="1371"/>
    </row>
    <row r="87" spans="1:32" x14ac:dyDescent="0.3">
      <c r="A87" s="757">
        <f>'D-1 Off-Site Habitat Baseline'!AF91</f>
        <v>0</v>
      </c>
      <c r="B87" s="764"/>
      <c r="C87" s="762">
        <f>SUMIF('D-1 Off-Site Habitat Baseline'!AF91:AF94,B87,'D-1 Off-Site Habitat Baseline'!T91:T94)</f>
        <v>0</v>
      </c>
      <c r="D87" s="1369">
        <f>SUMIF('D-1 Off-Site Habitat Baseline'!$AF$11:$AF$258,'Off-site gain site summary'!$B$7,'D-1 Off-Site Habitat Baseline'!$X$11:$X$258)</f>
        <v>0</v>
      </c>
      <c r="E87" s="1370"/>
      <c r="F87" s="1369">
        <f>SUMIF('D-3 Off-Site Habitat Enhancment'!$AU$12:$AU$258,'Off-site gain site summary'!B87,'D-3 Off-Site Habitat Enhancment'!$AQ$12:$AQ$258)</f>
        <v>0</v>
      </c>
      <c r="G87" s="1370"/>
      <c r="H87" s="1369">
        <f>SUMIF('D-2 Off-Site Habitat Creation'!$AF$11:$AF$256,'Off-site gain site summary'!B87,'D-2 Off-Site Habitat Creation'!$AB$11:$AB$256)</f>
        <v>0</v>
      </c>
      <c r="I87" s="1370"/>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71"/>
      <c r="AF87" s="1371"/>
    </row>
    <row r="88" spans="1:32" x14ac:dyDescent="0.3">
      <c r="A88" s="757">
        <f>'D-1 Off-Site Habitat Baseline'!AF92</f>
        <v>0</v>
      </c>
      <c r="B88" s="764"/>
      <c r="C88" s="762">
        <f>SUMIF('D-1 Off-Site Habitat Baseline'!AF92:AF95,B88,'D-1 Off-Site Habitat Baseline'!T92:T95)</f>
        <v>0</v>
      </c>
      <c r="D88" s="1369">
        <f>SUMIF('D-1 Off-Site Habitat Baseline'!$AF$11:$AF$258,'Off-site gain site summary'!$B$7,'D-1 Off-Site Habitat Baseline'!$X$11:$X$258)</f>
        <v>0</v>
      </c>
      <c r="E88" s="1370"/>
      <c r="F88" s="1369">
        <f>SUMIF('D-3 Off-Site Habitat Enhancment'!$AU$12:$AU$258,'Off-site gain site summary'!B88,'D-3 Off-Site Habitat Enhancment'!$AQ$12:$AQ$258)</f>
        <v>0</v>
      </c>
      <c r="G88" s="1370"/>
      <c r="H88" s="1369">
        <f>SUMIF('D-2 Off-Site Habitat Creation'!$AF$11:$AF$256,'Off-site gain site summary'!B88,'D-2 Off-Site Habitat Creation'!$AB$11:$AB$256)</f>
        <v>0</v>
      </c>
      <c r="I88" s="1370"/>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71"/>
      <c r="AF88" s="1371"/>
    </row>
    <row r="89" spans="1:32" x14ac:dyDescent="0.3">
      <c r="A89" s="757">
        <f>'D-1 Off-Site Habitat Baseline'!AF93</f>
        <v>0</v>
      </c>
      <c r="B89" s="764"/>
      <c r="C89" s="762">
        <f>SUMIF('D-1 Off-Site Habitat Baseline'!AF93:AF96,B89,'D-1 Off-Site Habitat Baseline'!T93:T96)</f>
        <v>0</v>
      </c>
      <c r="D89" s="1369">
        <f>SUMIF('D-1 Off-Site Habitat Baseline'!$AF$11:$AF$258,'Off-site gain site summary'!$B$7,'D-1 Off-Site Habitat Baseline'!$X$11:$X$258)</f>
        <v>0</v>
      </c>
      <c r="E89" s="1370"/>
      <c r="F89" s="1369">
        <f>SUMIF('D-3 Off-Site Habitat Enhancment'!$AU$12:$AU$258,'Off-site gain site summary'!B89,'D-3 Off-Site Habitat Enhancment'!$AQ$12:$AQ$258)</f>
        <v>0</v>
      </c>
      <c r="G89" s="1370"/>
      <c r="H89" s="1369">
        <f>SUMIF('D-2 Off-Site Habitat Creation'!$AF$11:$AF$256,'Off-site gain site summary'!B89,'D-2 Off-Site Habitat Creation'!$AB$11:$AB$256)</f>
        <v>0</v>
      </c>
      <c r="I89" s="1370"/>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71"/>
      <c r="AF89" s="1371"/>
    </row>
    <row r="90" spans="1:32" x14ac:dyDescent="0.3">
      <c r="A90" s="757">
        <f>'D-1 Off-Site Habitat Baseline'!AF94</f>
        <v>0</v>
      </c>
      <c r="B90" s="764"/>
      <c r="C90" s="762">
        <f>SUMIF('D-1 Off-Site Habitat Baseline'!AF94:AF97,B90,'D-1 Off-Site Habitat Baseline'!T94:T97)</f>
        <v>0</v>
      </c>
      <c r="D90" s="1369">
        <f>SUMIF('D-1 Off-Site Habitat Baseline'!$AF$11:$AF$258,'Off-site gain site summary'!$B$7,'D-1 Off-Site Habitat Baseline'!$X$11:$X$258)</f>
        <v>0</v>
      </c>
      <c r="E90" s="1370"/>
      <c r="F90" s="1369">
        <f>SUMIF('D-3 Off-Site Habitat Enhancment'!$AU$12:$AU$258,'Off-site gain site summary'!B90,'D-3 Off-Site Habitat Enhancment'!$AQ$12:$AQ$258)</f>
        <v>0</v>
      </c>
      <c r="G90" s="1370"/>
      <c r="H90" s="1369">
        <f>SUMIF('D-2 Off-Site Habitat Creation'!$AF$11:$AF$256,'Off-site gain site summary'!B90,'D-2 Off-Site Habitat Creation'!$AB$11:$AB$256)</f>
        <v>0</v>
      </c>
      <c r="I90" s="1370"/>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71"/>
      <c r="AF90" s="1371"/>
    </row>
    <row r="91" spans="1:32" x14ac:dyDescent="0.3">
      <c r="A91" s="757">
        <f>'D-1 Off-Site Habitat Baseline'!AF95</f>
        <v>0</v>
      </c>
      <c r="B91" s="764"/>
      <c r="C91" s="762">
        <f>SUMIF('D-1 Off-Site Habitat Baseline'!AF95:AF98,B91,'D-1 Off-Site Habitat Baseline'!T95:T98)</f>
        <v>0</v>
      </c>
      <c r="D91" s="1369">
        <f>SUMIF('D-1 Off-Site Habitat Baseline'!$AF$11:$AF$258,'Off-site gain site summary'!$B$7,'D-1 Off-Site Habitat Baseline'!$X$11:$X$258)</f>
        <v>0</v>
      </c>
      <c r="E91" s="1370"/>
      <c r="F91" s="1369">
        <f>SUMIF('D-3 Off-Site Habitat Enhancment'!$AU$12:$AU$258,'Off-site gain site summary'!B91,'D-3 Off-Site Habitat Enhancment'!$AQ$12:$AQ$258)</f>
        <v>0</v>
      </c>
      <c r="G91" s="1370"/>
      <c r="H91" s="1369">
        <f>SUMIF('D-2 Off-Site Habitat Creation'!$AF$11:$AF$256,'Off-site gain site summary'!B91,'D-2 Off-Site Habitat Creation'!$AB$11:$AB$256)</f>
        <v>0</v>
      </c>
      <c r="I91" s="1370"/>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71"/>
      <c r="AF91" s="1371"/>
    </row>
    <row r="92" spans="1:32" x14ac:dyDescent="0.3">
      <c r="A92" s="757">
        <f>'D-1 Off-Site Habitat Baseline'!AF96</f>
        <v>0</v>
      </c>
      <c r="B92" s="764"/>
      <c r="C92" s="762">
        <f>SUMIF('D-1 Off-Site Habitat Baseline'!AF96:AF99,B92,'D-1 Off-Site Habitat Baseline'!T96:T99)</f>
        <v>0</v>
      </c>
      <c r="D92" s="1369">
        <f>SUMIF('D-1 Off-Site Habitat Baseline'!$AF$11:$AF$258,'Off-site gain site summary'!$B$7,'D-1 Off-Site Habitat Baseline'!$X$11:$X$258)</f>
        <v>0</v>
      </c>
      <c r="E92" s="1370"/>
      <c r="F92" s="1369">
        <f>SUMIF('D-3 Off-Site Habitat Enhancment'!$AU$12:$AU$258,'Off-site gain site summary'!B92,'D-3 Off-Site Habitat Enhancment'!$AQ$12:$AQ$258)</f>
        <v>0</v>
      </c>
      <c r="G92" s="1370"/>
      <c r="H92" s="1369">
        <f>SUMIF('D-2 Off-Site Habitat Creation'!$AF$11:$AF$256,'Off-site gain site summary'!B92,'D-2 Off-Site Habitat Creation'!$AB$11:$AB$256)</f>
        <v>0</v>
      </c>
      <c r="I92" s="1370"/>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71"/>
      <c r="AF92" s="1371"/>
    </row>
    <row r="93" spans="1:32" x14ac:dyDescent="0.3">
      <c r="A93" s="757">
        <f>'D-1 Off-Site Habitat Baseline'!AF97</f>
        <v>0</v>
      </c>
      <c r="B93" s="764"/>
      <c r="C93" s="762">
        <f>SUMIF('D-1 Off-Site Habitat Baseline'!AF97:AF100,B93,'D-1 Off-Site Habitat Baseline'!T97:T100)</f>
        <v>0</v>
      </c>
      <c r="D93" s="1369">
        <f>SUMIF('D-1 Off-Site Habitat Baseline'!$AF$11:$AF$258,'Off-site gain site summary'!$B$7,'D-1 Off-Site Habitat Baseline'!$X$11:$X$258)</f>
        <v>0</v>
      </c>
      <c r="E93" s="1370"/>
      <c r="F93" s="1369">
        <f>SUMIF('D-3 Off-Site Habitat Enhancment'!$AU$12:$AU$258,'Off-site gain site summary'!B93,'D-3 Off-Site Habitat Enhancment'!$AQ$12:$AQ$258)</f>
        <v>0</v>
      </c>
      <c r="G93" s="1370"/>
      <c r="H93" s="1369">
        <f>SUMIF('D-2 Off-Site Habitat Creation'!$AF$11:$AF$256,'Off-site gain site summary'!B93,'D-2 Off-Site Habitat Creation'!$AB$11:$AB$256)</f>
        <v>0</v>
      </c>
      <c r="I93" s="1370"/>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71"/>
      <c r="AF93" s="1371"/>
    </row>
    <row r="94" spans="1:32" x14ac:dyDescent="0.3">
      <c r="A94" s="757">
        <f>'D-1 Off-Site Habitat Baseline'!AF98</f>
        <v>0</v>
      </c>
      <c r="B94" s="764"/>
      <c r="C94" s="762">
        <f>SUMIF('D-1 Off-Site Habitat Baseline'!AF98:AF101,B94,'D-1 Off-Site Habitat Baseline'!T98:T101)</f>
        <v>0</v>
      </c>
      <c r="D94" s="1369">
        <f>SUMIF('D-1 Off-Site Habitat Baseline'!$AF$11:$AF$258,'Off-site gain site summary'!$B$7,'D-1 Off-Site Habitat Baseline'!$X$11:$X$258)</f>
        <v>0</v>
      </c>
      <c r="E94" s="1370"/>
      <c r="F94" s="1369">
        <f>SUMIF('D-3 Off-Site Habitat Enhancment'!$AU$12:$AU$258,'Off-site gain site summary'!B94,'D-3 Off-Site Habitat Enhancment'!$AQ$12:$AQ$258)</f>
        <v>0</v>
      </c>
      <c r="G94" s="1370"/>
      <c r="H94" s="1369">
        <f>SUMIF('D-2 Off-Site Habitat Creation'!$AF$11:$AF$256,'Off-site gain site summary'!B94,'D-2 Off-Site Habitat Creation'!$AB$11:$AB$256)</f>
        <v>0</v>
      </c>
      <c r="I94" s="1370"/>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71"/>
      <c r="AF94" s="1371"/>
    </row>
    <row r="95" spans="1:32" x14ac:dyDescent="0.3">
      <c r="A95" s="757">
        <f>'D-1 Off-Site Habitat Baseline'!AF99</f>
        <v>0</v>
      </c>
      <c r="B95" s="764"/>
      <c r="C95" s="762">
        <f>SUMIF('D-1 Off-Site Habitat Baseline'!AF99:AF102,B95,'D-1 Off-Site Habitat Baseline'!T99:T102)</f>
        <v>0</v>
      </c>
      <c r="D95" s="1369">
        <f>SUMIF('D-1 Off-Site Habitat Baseline'!$AF$11:$AF$258,'Off-site gain site summary'!$B$7,'D-1 Off-Site Habitat Baseline'!$X$11:$X$258)</f>
        <v>0</v>
      </c>
      <c r="E95" s="1370"/>
      <c r="F95" s="1369">
        <f>SUMIF('D-3 Off-Site Habitat Enhancment'!$AU$12:$AU$258,'Off-site gain site summary'!B95,'D-3 Off-Site Habitat Enhancment'!$AQ$12:$AQ$258)</f>
        <v>0</v>
      </c>
      <c r="G95" s="1370"/>
      <c r="H95" s="1369">
        <f>SUMIF('D-2 Off-Site Habitat Creation'!$AF$11:$AF$256,'Off-site gain site summary'!B95,'D-2 Off-Site Habitat Creation'!$AB$11:$AB$256)</f>
        <v>0</v>
      </c>
      <c r="I95" s="1370"/>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71"/>
      <c r="AF95" s="1371"/>
    </row>
    <row r="96" spans="1:32" x14ac:dyDescent="0.3">
      <c r="A96" s="757">
        <f>'D-1 Off-Site Habitat Baseline'!AF100</f>
        <v>0</v>
      </c>
      <c r="B96" s="764"/>
      <c r="C96" s="762">
        <f>SUMIF('D-1 Off-Site Habitat Baseline'!AF100:AF103,B96,'D-1 Off-Site Habitat Baseline'!T100:T103)</f>
        <v>0</v>
      </c>
      <c r="D96" s="1369">
        <f>SUMIF('D-1 Off-Site Habitat Baseline'!$AF$11:$AF$258,'Off-site gain site summary'!$B$7,'D-1 Off-Site Habitat Baseline'!$X$11:$X$258)</f>
        <v>0</v>
      </c>
      <c r="E96" s="1370"/>
      <c r="F96" s="1369">
        <f>SUMIF('D-3 Off-Site Habitat Enhancment'!$AU$12:$AU$258,'Off-site gain site summary'!B96,'D-3 Off-Site Habitat Enhancment'!$AQ$12:$AQ$258)</f>
        <v>0</v>
      </c>
      <c r="G96" s="1370"/>
      <c r="H96" s="1369">
        <f>SUMIF('D-2 Off-Site Habitat Creation'!$AF$11:$AF$256,'Off-site gain site summary'!B96,'D-2 Off-Site Habitat Creation'!$AB$11:$AB$256)</f>
        <v>0</v>
      </c>
      <c r="I96" s="1370"/>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71"/>
      <c r="AF96" s="1371"/>
    </row>
    <row r="97" spans="1:32" x14ac:dyDescent="0.3">
      <c r="A97" s="757">
        <f>'D-1 Off-Site Habitat Baseline'!AF101</f>
        <v>0</v>
      </c>
      <c r="B97" s="764"/>
      <c r="C97" s="762">
        <f>SUMIF('D-1 Off-Site Habitat Baseline'!AF101:AF104,B97,'D-1 Off-Site Habitat Baseline'!T101:T104)</f>
        <v>0</v>
      </c>
      <c r="D97" s="1369">
        <f>SUMIF('D-1 Off-Site Habitat Baseline'!$AF$11:$AF$258,'Off-site gain site summary'!$B$7,'D-1 Off-Site Habitat Baseline'!$X$11:$X$258)</f>
        <v>0</v>
      </c>
      <c r="E97" s="1370"/>
      <c r="F97" s="1369">
        <f>SUMIF('D-3 Off-Site Habitat Enhancment'!$AU$12:$AU$258,'Off-site gain site summary'!B97,'D-3 Off-Site Habitat Enhancment'!$AQ$12:$AQ$258)</f>
        <v>0</v>
      </c>
      <c r="G97" s="1370"/>
      <c r="H97" s="1369">
        <f>SUMIF('D-2 Off-Site Habitat Creation'!$AF$11:$AF$256,'Off-site gain site summary'!B97,'D-2 Off-Site Habitat Creation'!$AB$11:$AB$256)</f>
        <v>0</v>
      </c>
      <c r="I97" s="1370"/>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71"/>
      <c r="AF97" s="1371"/>
    </row>
    <row r="98" spans="1:32" x14ac:dyDescent="0.3">
      <c r="A98" s="757">
        <f>'D-1 Off-Site Habitat Baseline'!AF102</f>
        <v>0</v>
      </c>
      <c r="B98" s="764"/>
      <c r="C98" s="762">
        <f>SUMIF('D-1 Off-Site Habitat Baseline'!AF102:AF105,B98,'D-1 Off-Site Habitat Baseline'!T102:T105)</f>
        <v>0</v>
      </c>
      <c r="D98" s="1369">
        <f>SUMIF('D-1 Off-Site Habitat Baseline'!$AF$11:$AF$258,'Off-site gain site summary'!$B$7,'D-1 Off-Site Habitat Baseline'!$X$11:$X$258)</f>
        <v>0</v>
      </c>
      <c r="E98" s="1370"/>
      <c r="F98" s="1369">
        <f>SUMIF('D-3 Off-Site Habitat Enhancment'!$AU$12:$AU$258,'Off-site gain site summary'!B98,'D-3 Off-Site Habitat Enhancment'!$AQ$12:$AQ$258)</f>
        <v>0</v>
      </c>
      <c r="G98" s="1370"/>
      <c r="H98" s="1369">
        <f>SUMIF('D-2 Off-Site Habitat Creation'!$AF$11:$AF$256,'Off-site gain site summary'!B98,'D-2 Off-Site Habitat Creation'!$AB$11:$AB$256)</f>
        <v>0</v>
      </c>
      <c r="I98" s="1370"/>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71"/>
      <c r="AF98" s="1371"/>
    </row>
    <row r="99" spans="1:32" x14ac:dyDescent="0.3">
      <c r="A99" s="757">
        <f>'D-1 Off-Site Habitat Baseline'!AF103</f>
        <v>0</v>
      </c>
      <c r="B99" s="764"/>
      <c r="C99" s="762">
        <f>SUMIF('D-1 Off-Site Habitat Baseline'!AF103:AF106,B99,'D-1 Off-Site Habitat Baseline'!T103:T106)</f>
        <v>0</v>
      </c>
      <c r="D99" s="1369">
        <f>SUMIF('D-1 Off-Site Habitat Baseline'!$AF$11:$AF$258,'Off-site gain site summary'!$B$7,'D-1 Off-Site Habitat Baseline'!$X$11:$X$258)</f>
        <v>0</v>
      </c>
      <c r="E99" s="1370"/>
      <c r="F99" s="1369">
        <f>SUMIF('D-3 Off-Site Habitat Enhancment'!$AU$12:$AU$258,'Off-site gain site summary'!B99,'D-3 Off-Site Habitat Enhancment'!$AQ$12:$AQ$258)</f>
        <v>0</v>
      </c>
      <c r="G99" s="1370"/>
      <c r="H99" s="1369">
        <f>SUMIF('D-2 Off-Site Habitat Creation'!$AF$11:$AF$256,'Off-site gain site summary'!B99,'D-2 Off-Site Habitat Creation'!$AB$11:$AB$256)</f>
        <v>0</v>
      </c>
      <c r="I99" s="1370"/>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71"/>
      <c r="AF99" s="1371"/>
    </row>
    <row r="100" spans="1:32" x14ac:dyDescent="0.3">
      <c r="A100" s="757">
        <f>'D-1 Off-Site Habitat Baseline'!AF104</f>
        <v>0</v>
      </c>
      <c r="B100" s="764"/>
      <c r="C100" s="762">
        <f>SUMIF('D-1 Off-Site Habitat Baseline'!AF104:AF107,B100,'D-1 Off-Site Habitat Baseline'!T104:T107)</f>
        <v>0</v>
      </c>
      <c r="D100" s="1369">
        <f>SUMIF('D-1 Off-Site Habitat Baseline'!$AF$11:$AF$258,'Off-site gain site summary'!$B$7,'D-1 Off-Site Habitat Baseline'!$X$11:$X$258)</f>
        <v>0</v>
      </c>
      <c r="E100" s="1370"/>
      <c r="F100" s="1369">
        <f>SUMIF('D-3 Off-Site Habitat Enhancment'!$AU$12:$AU$258,'Off-site gain site summary'!B100,'D-3 Off-Site Habitat Enhancment'!$AQ$12:$AQ$258)</f>
        <v>0</v>
      </c>
      <c r="G100" s="1370"/>
      <c r="H100" s="1369">
        <f>SUMIF('D-2 Off-Site Habitat Creation'!$AF$11:$AF$256,'Off-site gain site summary'!B100,'D-2 Off-Site Habitat Creation'!$AB$11:$AB$256)</f>
        <v>0</v>
      </c>
      <c r="I100" s="1370"/>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71"/>
      <c r="AF100" s="1371"/>
    </row>
    <row r="101" spans="1:32" x14ac:dyDescent="0.3">
      <c r="A101" s="757">
        <f>'D-1 Off-Site Habitat Baseline'!AF105</f>
        <v>0</v>
      </c>
      <c r="B101" s="764"/>
      <c r="C101" s="762">
        <f>SUMIF('D-1 Off-Site Habitat Baseline'!AF105:AF108,B101,'D-1 Off-Site Habitat Baseline'!T105:T108)</f>
        <v>0</v>
      </c>
      <c r="D101" s="1369">
        <f>SUMIF('D-1 Off-Site Habitat Baseline'!$AF$11:$AF$258,'Off-site gain site summary'!$B$7,'D-1 Off-Site Habitat Baseline'!$X$11:$X$258)</f>
        <v>0</v>
      </c>
      <c r="E101" s="1370"/>
      <c r="F101" s="1369">
        <f>SUMIF('D-3 Off-Site Habitat Enhancment'!$AU$12:$AU$258,'Off-site gain site summary'!B101,'D-3 Off-Site Habitat Enhancment'!$AQ$12:$AQ$258)</f>
        <v>0</v>
      </c>
      <c r="G101" s="1370"/>
      <c r="H101" s="1369">
        <f>SUMIF('D-2 Off-Site Habitat Creation'!$AF$11:$AF$256,'Off-site gain site summary'!B101,'D-2 Off-Site Habitat Creation'!$AB$11:$AB$256)</f>
        <v>0</v>
      </c>
      <c r="I101" s="1370"/>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71"/>
      <c r="AF101" s="1371"/>
    </row>
    <row r="102" spans="1:32" x14ac:dyDescent="0.3">
      <c r="A102" s="757">
        <f>'D-1 Off-Site Habitat Baseline'!AF106</f>
        <v>0</v>
      </c>
      <c r="B102" s="764"/>
      <c r="C102" s="762">
        <f>SUMIF('D-1 Off-Site Habitat Baseline'!AF106:AF109,B102,'D-1 Off-Site Habitat Baseline'!T106:T109)</f>
        <v>0</v>
      </c>
      <c r="D102" s="1369">
        <f>SUMIF('D-1 Off-Site Habitat Baseline'!$AF$11:$AF$258,'Off-site gain site summary'!$B$7,'D-1 Off-Site Habitat Baseline'!$X$11:$X$258)</f>
        <v>0</v>
      </c>
      <c r="E102" s="1370"/>
      <c r="F102" s="1369">
        <f>SUMIF('D-3 Off-Site Habitat Enhancment'!$AU$12:$AU$258,'Off-site gain site summary'!B102,'D-3 Off-Site Habitat Enhancment'!$AQ$12:$AQ$258)</f>
        <v>0</v>
      </c>
      <c r="G102" s="1370"/>
      <c r="H102" s="1369">
        <f>SUMIF('D-2 Off-Site Habitat Creation'!$AF$11:$AF$256,'Off-site gain site summary'!B102,'D-2 Off-Site Habitat Creation'!$AB$11:$AB$256)</f>
        <v>0</v>
      </c>
      <c r="I102" s="1370"/>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71"/>
      <c r="AF102" s="1371"/>
    </row>
    <row r="103" spans="1:32" x14ac:dyDescent="0.3">
      <c r="A103" s="757">
        <f>'D-1 Off-Site Habitat Baseline'!AF107</f>
        <v>0</v>
      </c>
      <c r="B103" s="764"/>
      <c r="C103" s="762">
        <f>SUMIF('D-1 Off-Site Habitat Baseline'!AF107:AF110,B103,'D-1 Off-Site Habitat Baseline'!T107:T110)</f>
        <v>0</v>
      </c>
      <c r="D103" s="1369">
        <f>SUMIF('D-1 Off-Site Habitat Baseline'!$AF$11:$AF$258,'Off-site gain site summary'!$B$7,'D-1 Off-Site Habitat Baseline'!$X$11:$X$258)</f>
        <v>0</v>
      </c>
      <c r="E103" s="1370"/>
      <c r="F103" s="1369">
        <f>SUMIF('D-3 Off-Site Habitat Enhancment'!$AU$12:$AU$258,'Off-site gain site summary'!B103,'D-3 Off-Site Habitat Enhancment'!$AQ$12:$AQ$258)</f>
        <v>0</v>
      </c>
      <c r="G103" s="1370"/>
      <c r="H103" s="1369">
        <f>SUMIF('D-2 Off-Site Habitat Creation'!$AF$11:$AF$256,'Off-site gain site summary'!B103,'D-2 Off-Site Habitat Creation'!$AB$11:$AB$256)</f>
        <v>0</v>
      </c>
      <c r="I103" s="1370"/>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71"/>
      <c r="AF103" s="1371"/>
    </row>
    <row r="104" spans="1:32" x14ac:dyDescent="0.3">
      <c r="A104" s="757">
        <f>'D-1 Off-Site Habitat Baseline'!AF108</f>
        <v>0</v>
      </c>
      <c r="B104" s="764"/>
      <c r="C104" s="762">
        <f>SUMIF('D-1 Off-Site Habitat Baseline'!AF108:AF111,B104,'D-1 Off-Site Habitat Baseline'!T108:T111)</f>
        <v>0</v>
      </c>
      <c r="D104" s="1369">
        <f>SUMIF('D-1 Off-Site Habitat Baseline'!$AF$11:$AF$258,'Off-site gain site summary'!$B$7,'D-1 Off-Site Habitat Baseline'!$X$11:$X$258)</f>
        <v>0</v>
      </c>
      <c r="E104" s="1370"/>
      <c r="F104" s="1369">
        <f>SUMIF('D-3 Off-Site Habitat Enhancment'!$AU$12:$AU$258,'Off-site gain site summary'!B104,'D-3 Off-Site Habitat Enhancment'!$AQ$12:$AQ$258)</f>
        <v>0</v>
      </c>
      <c r="G104" s="1370"/>
      <c r="H104" s="1369">
        <f>SUMIF('D-2 Off-Site Habitat Creation'!$AF$11:$AF$256,'Off-site gain site summary'!B104,'D-2 Off-Site Habitat Creation'!$AB$11:$AB$256)</f>
        <v>0</v>
      </c>
      <c r="I104" s="1370"/>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71"/>
      <c r="AF104" s="1371"/>
    </row>
    <row r="105" spans="1:32" x14ac:dyDescent="0.3">
      <c r="A105" s="757">
        <f>'D-1 Off-Site Habitat Baseline'!AF109</f>
        <v>0</v>
      </c>
      <c r="B105" s="764"/>
      <c r="C105" s="762">
        <f>SUMIF('D-1 Off-Site Habitat Baseline'!AF109:AF112,B105,'D-1 Off-Site Habitat Baseline'!T109:T112)</f>
        <v>0</v>
      </c>
      <c r="D105" s="1369">
        <f>SUMIF('D-1 Off-Site Habitat Baseline'!$AF$11:$AF$258,'Off-site gain site summary'!$B$7,'D-1 Off-Site Habitat Baseline'!$X$11:$X$258)</f>
        <v>0</v>
      </c>
      <c r="E105" s="1370"/>
      <c r="F105" s="1369">
        <f>SUMIF('D-3 Off-Site Habitat Enhancment'!$AU$12:$AU$258,'Off-site gain site summary'!B105,'D-3 Off-Site Habitat Enhancment'!$AQ$12:$AQ$258)</f>
        <v>0</v>
      </c>
      <c r="G105" s="1370"/>
      <c r="H105" s="1369">
        <f>SUMIF('D-2 Off-Site Habitat Creation'!$AF$11:$AF$256,'Off-site gain site summary'!B105,'D-2 Off-Site Habitat Creation'!$AB$11:$AB$256)</f>
        <v>0</v>
      </c>
      <c r="I105" s="1370"/>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71"/>
      <c r="AF105" s="1371"/>
    </row>
    <row r="106" spans="1:32" x14ac:dyDescent="0.3">
      <c r="A106" s="757">
        <f>'D-1 Off-Site Habitat Baseline'!AF110</f>
        <v>0</v>
      </c>
      <c r="B106" s="764"/>
      <c r="C106" s="762">
        <f>SUMIF('D-1 Off-Site Habitat Baseline'!AF110:AF113,B106,'D-1 Off-Site Habitat Baseline'!T110:T113)</f>
        <v>0</v>
      </c>
      <c r="D106" s="1369">
        <f>SUMIF('D-1 Off-Site Habitat Baseline'!$AF$11:$AF$258,'Off-site gain site summary'!$B$7,'D-1 Off-Site Habitat Baseline'!$X$11:$X$258)</f>
        <v>0</v>
      </c>
      <c r="E106" s="1370"/>
      <c r="F106" s="1369">
        <f>SUMIF('D-3 Off-Site Habitat Enhancment'!$AU$12:$AU$258,'Off-site gain site summary'!B106,'D-3 Off-Site Habitat Enhancment'!$AQ$12:$AQ$258)</f>
        <v>0</v>
      </c>
      <c r="G106" s="1370"/>
      <c r="H106" s="1369">
        <f>SUMIF('D-2 Off-Site Habitat Creation'!$AF$11:$AF$256,'Off-site gain site summary'!B106,'D-2 Off-Site Habitat Creation'!$AB$11:$AB$256)</f>
        <v>0</v>
      </c>
      <c r="I106" s="1370"/>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71"/>
      <c r="AF106" s="1371"/>
    </row>
    <row r="107" spans="1:32" ht="15" thickBot="1" x14ac:dyDescent="0.35">
      <c r="A107" s="757">
        <f>'D-1 Off-Site Habitat Baseline'!AF111</f>
        <v>0</v>
      </c>
      <c r="B107" s="767"/>
      <c r="C107" s="768">
        <f>SUMIF('D-1 Off-Site Habitat Baseline'!AF111:AF114,B107,'D-1 Off-Site Habitat Baseline'!T111:T114)</f>
        <v>0</v>
      </c>
      <c r="D107" s="1366">
        <f>SUMIF('D-1 Off-Site Habitat Baseline'!$AF$11:$AF$258,'Off-site gain site summary'!$B$7,'D-1 Off-Site Habitat Baseline'!$X$11:$X$258)</f>
        <v>0</v>
      </c>
      <c r="E107" s="1367"/>
      <c r="F107" s="1366">
        <f>SUMIF('D-3 Off-Site Habitat Enhancment'!$AU$12:$AU$258,'Off-site gain site summary'!B107,'D-3 Off-Site Habitat Enhancment'!$AQ$12:$AQ$258)</f>
        <v>0</v>
      </c>
      <c r="G107" s="1367"/>
      <c r="H107" s="1366">
        <f>SUMIF('D-2 Off-Site Habitat Creation'!$AF$11:$AF$256,'Off-site gain site summary'!B107,'D-2 Off-Site Habitat Creation'!$AB$11:$AB$256)</f>
        <v>0</v>
      </c>
      <c r="I107" s="1367"/>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71"/>
      <c r="AF107" s="1371"/>
    </row>
    <row r="108" spans="1:32" ht="15" thickBot="1" x14ac:dyDescent="0.35">
      <c r="A108" s="757">
        <f>'D-1 Off-Site Habitat Baseline'!AF112</f>
        <v>0</v>
      </c>
      <c r="B108" s="1360"/>
      <c r="C108" s="1361"/>
      <c r="D108" s="1361"/>
      <c r="E108" s="1361"/>
      <c r="F108" s="1361"/>
      <c r="G108" s="1361"/>
      <c r="H108" s="1361"/>
      <c r="I108" s="1361"/>
      <c r="J108" s="1361"/>
      <c r="K108" s="1361"/>
      <c r="L108" s="1368"/>
      <c r="M108" s="757">
        <f>'E-1 Off-Site Hedge Baseline'!AB111</f>
        <v>0</v>
      </c>
      <c r="N108" s="775"/>
      <c r="O108" s="776"/>
      <c r="P108" s="776"/>
      <c r="Q108" s="776"/>
      <c r="R108" s="776"/>
      <c r="S108" s="776"/>
      <c r="T108" s="776"/>
      <c r="U108" s="777"/>
      <c r="V108" s="1">
        <f>'F-1 Off-Site WaterC'' Baseline'!AG111</f>
        <v>0</v>
      </c>
      <c r="W108" s="1360"/>
      <c r="X108" s="1361"/>
      <c r="Y108" s="1361"/>
      <c r="Z108" s="1361"/>
      <c r="AA108" s="1361"/>
      <c r="AB108" s="1361"/>
      <c r="AC108" s="1361"/>
      <c r="AD108" s="1361"/>
    </row>
    <row r="109" spans="1:32" x14ac:dyDescent="0.3">
      <c r="A109" s="757">
        <f>'D-1 Off-Site Habitat Baseline'!AF113</f>
        <v>0</v>
      </c>
      <c r="M109" s="757">
        <f>'E-1 Off-Site Hedge Baseline'!AB112</f>
        <v>0</v>
      </c>
      <c r="V109" s="1">
        <f>'F-1 Off-Site WaterC'' Baseline'!AG112</f>
        <v>0</v>
      </c>
    </row>
    <row r="110" spans="1:32" x14ac:dyDescent="0.3">
      <c r="A110" s="757">
        <f>'D-1 Off-Site Habitat Baseline'!AF114</f>
        <v>0</v>
      </c>
      <c r="M110" s="757">
        <f>'E-1 Off-Site Hedge Baseline'!AB113</f>
        <v>0</v>
      </c>
      <c r="V110" s="1">
        <f>'F-1 Off-Site WaterC'' Baseline'!AG113</f>
        <v>0</v>
      </c>
    </row>
    <row r="111" spans="1:32" x14ac:dyDescent="0.3">
      <c r="A111" s="757">
        <f>'D-1 Off-Site Habitat Baseline'!AF115</f>
        <v>0</v>
      </c>
      <c r="M111" s="757">
        <f>'E-1 Off-Site Hedge Baseline'!AB114</f>
        <v>0</v>
      </c>
      <c r="V111" s="1">
        <f>'F-1 Off-Site WaterC'' Baseline'!AG114</f>
        <v>0</v>
      </c>
    </row>
    <row r="112" spans="1:32" x14ac:dyDescent="0.3">
      <c r="A112" s="757">
        <f>'D-1 Off-Site Habitat Baseline'!AF116</f>
        <v>0</v>
      </c>
      <c r="M112" s="757">
        <f>'E-1 Off-Site Hedge Baseline'!AB115</f>
        <v>0</v>
      </c>
      <c r="V112" s="1">
        <f>'F-1 Off-Site WaterC'' Baseline'!AG115</f>
        <v>0</v>
      </c>
    </row>
    <row r="113" spans="1:22" x14ac:dyDescent="0.3">
      <c r="A113" s="757">
        <f>'D-1 Off-Site Habitat Baseline'!AF117</f>
        <v>0</v>
      </c>
      <c r="M113" s="757">
        <f>'E-1 Off-Site Hedge Baseline'!AB116</f>
        <v>0</v>
      </c>
      <c r="V113" s="1">
        <f>'F-1 Off-Site WaterC'' Baseline'!AG116</f>
        <v>0</v>
      </c>
    </row>
    <row r="114" spans="1:22" x14ac:dyDescent="0.3">
      <c r="A114" s="757">
        <f>'D-1 Off-Site Habitat Baseline'!AF118</f>
        <v>0</v>
      </c>
      <c r="M114" s="757">
        <f>'E-1 Off-Site Hedge Baseline'!AB117</f>
        <v>0</v>
      </c>
      <c r="V114" s="1">
        <f>'F-1 Off-Site WaterC'' Baseline'!AG117</f>
        <v>0</v>
      </c>
    </row>
    <row r="115" spans="1:22" x14ac:dyDescent="0.3">
      <c r="A115" s="757">
        <f>'D-1 Off-Site Habitat Baseline'!AF119</f>
        <v>0</v>
      </c>
      <c r="M115" s="757">
        <f>'E-1 Off-Site Hedge Baseline'!AB118</f>
        <v>0</v>
      </c>
      <c r="V115" s="1">
        <f>'F-1 Off-Site WaterC'' Baseline'!AG118</f>
        <v>0</v>
      </c>
    </row>
    <row r="116" spans="1:22" x14ac:dyDescent="0.3">
      <c r="A116" s="757">
        <f>'D-1 Off-Site Habitat Baseline'!AF120</f>
        <v>0</v>
      </c>
      <c r="M116" s="757">
        <f>'E-1 Off-Site Hedge Baseline'!AB119</f>
        <v>0</v>
      </c>
      <c r="V116" s="1">
        <f>'F-1 Off-Site WaterC'' Baseline'!AG119</f>
        <v>0</v>
      </c>
    </row>
    <row r="117" spans="1:22" x14ac:dyDescent="0.3">
      <c r="A117" s="757">
        <f>'D-1 Off-Site Habitat Baseline'!AF121</f>
        <v>0</v>
      </c>
      <c r="M117" s="757">
        <f>'E-1 Off-Site Hedge Baseline'!AB120</f>
        <v>0</v>
      </c>
      <c r="V117" s="1">
        <f>'F-1 Off-Site WaterC'' Baseline'!AG120</f>
        <v>0</v>
      </c>
    </row>
    <row r="118" spans="1:22" x14ac:dyDescent="0.3">
      <c r="A118" s="757">
        <f>'D-1 Off-Site Habitat Baseline'!AF122</f>
        <v>0</v>
      </c>
      <c r="M118" s="757">
        <f>'E-1 Off-Site Hedge Baseline'!AB121</f>
        <v>0</v>
      </c>
      <c r="V118" s="1">
        <f>'F-1 Off-Site WaterC'' Baseline'!AG121</f>
        <v>0</v>
      </c>
    </row>
    <row r="119" spans="1:22" x14ac:dyDescent="0.3">
      <c r="A119" s="757">
        <f>'D-1 Off-Site Habitat Baseline'!AF123</f>
        <v>0</v>
      </c>
      <c r="M119" s="757">
        <f>'E-1 Off-Site Hedge Baseline'!AB122</f>
        <v>0</v>
      </c>
      <c r="V119" s="1">
        <f>'F-1 Off-Site WaterC'' Baseline'!AG122</f>
        <v>0</v>
      </c>
    </row>
    <row r="120" spans="1:22" x14ac:dyDescent="0.3">
      <c r="A120" s="757">
        <f>'D-1 Off-Site Habitat Baseline'!AF124</f>
        <v>0</v>
      </c>
      <c r="M120" s="757">
        <f>'E-1 Off-Site Hedge Baseline'!AB123</f>
        <v>0</v>
      </c>
      <c r="V120" s="1">
        <f>'F-1 Off-Site WaterC'' Baseline'!AG123</f>
        <v>0</v>
      </c>
    </row>
    <row r="121" spans="1:22" x14ac:dyDescent="0.3">
      <c r="A121" s="757">
        <f>'D-1 Off-Site Habitat Baseline'!AF125</f>
        <v>0</v>
      </c>
      <c r="M121" s="757">
        <f>'E-1 Off-Site Hedge Baseline'!AB124</f>
        <v>0</v>
      </c>
      <c r="V121" s="1">
        <f>'F-1 Off-Site WaterC'' Baseline'!AG124</f>
        <v>0</v>
      </c>
    </row>
    <row r="122" spans="1:22" x14ac:dyDescent="0.3">
      <c r="A122" s="757">
        <f>'D-1 Off-Site Habitat Baseline'!AF126</f>
        <v>0</v>
      </c>
      <c r="M122" s="757">
        <f>'E-1 Off-Site Hedge Baseline'!AB125</f>
        <v>0</v>
      </c>
      <c r="V122" s="1">
        <f>'F-1 Off-Site WaterC'' Baseline'!AG125</f>
        <v>0</v>
      </c>
    </row>
    <row r="123" spans="1:22" x14ac:dyDescent="0.3">
      <c r="A123" s="757">
        <f>'D-1 Off-Site Habitat Baseline'!AF127</f>
        <v>0</v>
      </c>
      <c r="M123" s="757">
        <f>'E-1 Off-Site Hedge Baseline'!AB126</f>
        <v>0</v>
      </c>
      <c r="V123" s="1">
        <f>'F-1 Off-Site WaterC'' Baseline'!AG126</f>
        <v>0</v>
      </c>
    </row>
    <row r="124" spans="1:22" x14ac:dyDescent="0.3">
      <c r="A124" s="757">
        <f>'D-1 Off-Site Habitat Baseline'!AF128</f>
        <v>0</v>
      </c>
      <c r="M124" s="757">
        <f>'E-1 Off-Site Hedge Baseline'!AB127</f>
        <v>0</v>
      </c>
      <c r="V124" s="1">
        <f>'F-1 Off-Site WaterC'' Baseline'!AG127</f>
        <v>0</v>
      </c>
    </row>
    <row r="125" spans="1:22" x14ac:dyDescent="0.3">
      <c r="A125" s="757">
        <f>'D-1 Off-Site Habitat Baseline'!AF129</f>
        <v>0</v>
      </c>
      <c r="M125" s="757">
        <f>'E-1 Off-Site Hedge Baseline'!AB128</f>
        <v>0</v>
      </c>
      <c r="V125" s="1">
        <f>'F-1 Off-Site WaterC'' Baseline'!AG128</f>
        <v>0</v>
      </c>
    </row>
    <row r="126" spans="1:22" x14ac:dyDescent="0.3">
      <c r="A126" s="757">
        <f>'D-1 Off-Site Habitat Baseline'!AF130</f>
        <v>0</v>
      </c>
      <c r="M126" s="757">
        <f>'E-1 Off-Site Hedge Baseline'!AB129</f>
        <v>0</v>
      </c>
      <c r="V126" s="1">
        <f>'F-1 Off-Site WaterC'' Baseline'!AG129</f>
        <v>0</v>
      </c>
    </row>
    <row r="127" spans="1:22" x14ac:dyDescent="0.3">
      <c r="A127" s="757">
        <f>'D-1 Off-Site Habitat Baseline'!AF131</f>
        <v>0</v>
      </c>
      <c r="M127" s="757">
        <f>'E-1 Off-Site Hedge Baseline'!AB130</f>
        <v>0</v>
      </c>
      <c r="V127" s="1">
        <f>'F-1 Off-Site WaterC'' Baseline'!AG130</f>
        <v>0</v>
      </c>
    </row>
    <row r="128" spans="1:22" x14ac:dyDescent="0.3">
      <c r="A128" s="757">
        <f>'D-1 Off-Site Habitat Baseline'!AF132</f>
        <v>0</v>
      </c>
      <c r="M128" s="757">
        <f>'E-1 Off-Site Hedge Baseline'!AB131</f>
        <v>0</v>
      </c>
      <c r="V128" s="1">
        <f>'F-1 Off-Site WaterC'' Baseline'!AG131</f>
        <v>0</v>
      </c>
    </row>
    <row r="129" spans="1:22" x14ac:dyDescent="0.3">
      <c r="A129" s="757">
        <f>'D-1 Off-Site Habitat Baseline'!AF133</f>
        <v>0</v>
      </c>
      <c r="M129" s="757">
        <f>'E-1 Off-Site Hedge Baseline'!AB132</f>
        <v>0</v>
      </c>
      <c r="V129" s="1">
        <f>'F-1 Off-Site WaterC'' Baseline'!AG132</f>
        <v>0</v>
      </c>
    </row>
    <row r="130" spans="1:22" x14ac:dyDescent="0.3">
      <c r="A130" s="757">
        <f>'D-1 Off-Site Habitat Baseline'!AF134</f>
        <v>0</v>
      </c>
      <c r="M130" s="757">
        <f>'E-1 Off-Site Hedge Baseline'!AB133</f>
        <v>0</v>
      </c>
      <c r="V130" s="1">
        <f>'F-1 Off-Site WaterC'' Baseline'!AG133</f>
        <v>0</v>
      </c>
    </row>
    <row r="131" spans="1:22" x14ac:dyDescent="0.3">
      <c r="A131" s="757">
        <f>'D-1 Off-Site Habitat Baseline'!AF135</f>
        <v>0</v>
      </c>
      <c r="M131" s="757">
        <f>'E-1 Off-Site Hedge Baseline'!AB134</f>
        <v>0</v>
      </c>
      <c r="V131" s="1">
        <f>'F-1 Off-Site WaterC'' Baseline'!AG134</f>
        <v>0</v>
      </c>
    </row>
    <row r="132" spans="1:22" x14ac:dyDescent="0.3">
      <c r="A132" s="757">
        <f>'D-1 Off-Site Habitat Baseline'!AF136</f>
        <v>0</v>
      </c>
      <c r="M132" s="757">
        <f>'E-1 Off-Site Hedge Baseline'!AB135</f>
        <v>0</v>
      </c>
      <c r="V132" s="1">
        <f>'F-1 Off-Site WaterC'' Baseline'!AG135</f>
        <v>0</v>
      </c>
    </row>
    <row r="133" spans="1:22" x14ac:dyDescent="0.3">
      <c r="A133" s="757">
        <f>'D-1 Off-Site Habitat Baseline'!AF137</f>
        <v>0</v>
      </c>
      <c r="M133" s="757">
        <f>'E-1 Off-Site Hedge Baseline'!AB136</f>
        <v>0</v>
      </c>
      <c r="V133" s="1">
        <f>'F-1 Off-Site WaterC'' Baseline'!AG136</f>
        <v>0</v>
      </c>
    </row>
    <row r="134" spans="1:22" x14ac:dyDescent="0.3">
      <c r="A134" s="757">
        <f>'D-1 Off-Site Habitat Baseline'!AF138</f>
        <v>0</v>
      </c>
      <c r="M134" s="757">
        <f>'E-1 Off-Site Hedge Baseline'!AB137</f>
        <v>0</v>
      </c>
      <c r="V134" s="1">
        <f>'F-1 Off-Site WaterC'' Baseline'!AG137</f>
        <v>0</v>
      </c>
    </row>
    <row r="135" spans="1:22" x14ac:dyDescent="0.3">
      <c r="A135" s="757">
        <f>'D-1 Off-Site Habitat Baseline'!AF139</f>
        <v>0</v>
      </c>
      <c r="M135" s="757">
        <f>'E-1 Off-Site Hedge Baseline'!AB138</f>
        <v>0</v>
      </c>
      <c r="V135" s="1">
        <f>'F-1 Off-Site WaterC'' Baseline'!AG138</f>
        <v>0</v>
      </c>
    </row>
    <row r="136" spans="1:22" x14ac:dyDescent="0.3">
      <c r="A136" s="757">
        <f>'D-1 Off-Site Habitat Baseline'!AF140</f>
        <v>0</v>
      </c>
      <c r="M136" s="757">
        <f>'E-1 Off-Site Hedge Baseline'!AB139</f>
        <v>0</v>
      </c>
      <c r="V136" s="1">
        <f>'F-1 Off-Site WaterC'' Baseline'!AG139</f>
        <v>0</v>
      </c>
    </row>
    <row r="137" spans="1:22" x14ac:dyDescent="0.3">
      <c r="A137" s="757">
        <f>'D-1 Off-Site Habitat Baseline'!AF141</f>
        <v>0</v>
      </c>
      <c r="M137" s="757">
        <f>'E-1 Off-Site Hedge Baseline'!AB140</f>
        <v>0</v>
      </c>
      <c r="V137" s="1">
        <f>'F-1 Off-Site WaterC'' Baseline'!AG140</f>
        <v>0</v>
      </c>
    </row>
    <row r="138" spans="1:22" x14ac:dyDescent="0.3">
      <c r="A138" s="757">
        <f>'D-1 Off-Site Habitat Baseline'!AF142</f>
        <v>0</v>
      </c>
      <c r="M138" s="757">
        <f>'E-1 Off-Site Hedge Baseline'!AB141</f>
        <v>0</v>
      </c>
      <c r="V138" s="1">
        <f>'F-1 Off-Site WaterC'' Baseline'!AG141</f>
        <v>0</v>
      </c>
    </row>
    <row r="139" spans="1:22" x14ac:dyDescent="0.3">
      <c r="A139" s="757">
        <f>'D-1 Off-Site Habitat Baseline'!AF143</f>
        <v>0</v>
      </c>
      <c r="M139" s="757">
        <f>'E-1 Off-Site Hedge Baseline'!AB142</f>
        <v>0</v>
      </c>
      <c r="V139" s="1">
        <f>'F-1 Off-Site WaterC'' Baseline'!AG142</f>
        <v>0</v>
      </c>
    </row>
    <row r="140" spans="1:22" x14ac:dyDescent="0.3">
      <c r="A140" s="757">
        <f>'D-1 Off-Site Habitat Baseline'!AF144</f>
        <v>0</v>
      </c>
      <c r="M140" s="757">
        <f>'E-1 Off-Site Hedge Baseline'!AB143</f>
        <v>0</v>
      </c>
      <c r="V140" s="1">
        <f>'F-1 Off-Site WaterC'' Baseline'!AG143</f>
        <v>0</v>
      </c>
    </row>
    <row r="141" spans="1:22" x14ac:dyDescent="0.3">
      <c r="A141" s="757">
        <f>'D-1 Off-Site Habitat Baseline'!AF145</f>
        <v>0</v>
      </c>
      <c r="M141" s="757">
        <f>'E-1 Off-Site Hedge Baseline'!AB144</f>
        <v>0</v>
      </c>
      <c r="V141" s="1">
        <f>'F-1 Off-Site WaterC'' Baseline'!AG144</f>
        <v>0</v>
      </c>
    </row>
    <row r="142" spans="1:22" x14ac:dyDescent="0.3">
      <c r="A142" s="757">
        <f>'D-1 Off-Site Habitat Baseline'!AF146</f>
        <v>0</v>
      </c>
      <c r="M142" s="757">
        <f>'E-1 Off-Site Hedge Baseline'!AB145</f>
        <v>0</v>
      </c>
      <c r="V142" s="1">
        <f>'F-1 Off-Site WaterC'' Baseline'!AG145</f>
        <v>0</v>
      </c>
    </row>
    <row r="143" spans="1:22" x14ac:dyDescent="0.3">
      <c r="A143" s="757">
        <f>'D-1 Off-Site Habitat Baseline'!AF147</f>
        <v>0</v>
      </c>
      <c r="M143" s="757">
        <f>'E-1 Off-Site Hedge Baseline'!AB146</f>
        <v>0</v>
      </c>
      <c r="V143" s="1">
        <f>'F-1 Off-Site WaterC'' Baseline'!AG146</f>
        <v>0</v>
      </c>
    </row>
    <row r="144" spans="1:22" x14ac:dyDescent="0.3">
      <c r="A144" s="757">
        <f>'D-1 Off-Site Habitat Baseline'!AF148</f>
        <v>0</v>
      </c>
      <c r="M144" s="757">
        <f>'E-1 Off-Site Hedge Baseline'!AB147</f>
        <v>0</v>
      </c>
      <c r="V144" s="1">
        <f>'F-1 Off-Site WaterC'' Baseline'!AG147</f>
        <v>0</v>
      </c>
    </row>
    <row r="145" spans="1:22" x14ac:dyDescent="0.3">
      <c r="A145" s="757">
        <f>'D-1 Off-Site Habitat Baseline'!AF149</f>
        <v>0</v>
      </c>
      <c r="M145" s="757">
        <f>'E-1 Off-Site Hedge Baseline'!AB148</f>
        <v>0</v>
      </c>
      <c r="V145" s="1">
        <f>'F-1 Off-Site WaterC'' Baseline'!AG148</f>
        <v>0</v>
      </c>
    </row>
    <row r="146" spans="1:22" x14ac:dyDescent="0.3">
      <c r="A146" s="757">
        <f>'D-1 Off-Site Habitat Baseline'!AF150</f>
        <v>0</v>
      </c>
      <c r="M146" s="757">
        <f>'E-1 Off-Site Hedge Baseline'!AB149</f>
        <v>0</v>
      </c>
      <c r="V146" s="1">
        <f>'F-1 Off-Site WaterC'' Baseline'!AG149</f>
        <v>0</v>
      </c>
    </row>
    <row r="147" spans="1:22" x14ac:dyDescent="0.3">
      <c r="A147" s="757">
        <f>'D-1 Off-Site Habitat Baseline'!AF151</f>
        <v>0</v>
      </c>
      <c r="M147" s="757">
        <f>'E-1 Off-Site Hedge Baseline'!AB150</f>
        <v>0</v>
      </c>
      <c r="V147" s="1">
        <f>'F-1 Off-Site WaterC'' Baseline'!AG150</f>
        <v>0</v>
      </c>
    </row>
    <row r="148" spans="1:22" x14ac:dyDescent="0.3">
      <c r="A148" s="757">
        <f>'D-1 Off-Site Habitat Baseline'!AF152</f>
        <v>0</v>
      </c>
      <c r="M148" s="757">
        <f>'E-1 Off-Site Hedge Baseline'!AB151</f>
        <v>0</v>
      </c>
      <c r="V148" s="1">
        <f>'F-1 Off-Site WaterC'' Baseline'!AG151</f>
        <v>0</v>
      </c>
    </row>
    <row r="149" spans="1:22" x14ac:dyDescent="0.3">
      <c r="A149" s="757">
        <f>'D-1 Off-Site Habitat Baseline'!AF153</f>
        <v>0</v>
      </c>
      <c r="M149" s="757">
        <f>'E-1 Off-Site Hedge Baseline'!AB152</f>
        <v>0</v>
      </c>
      <c r="V149" s="1">
        <f>'F-1 Off-Site WaterC'' Baseline'!AG152</f>
        <v>0</v>
      </c>
    </row>
    <row r="150" spans="1:22" x14ac:dyDescent="0.3">
      <c r="A150" s="757">
        <f>'D-1 Off-Site Habitat Baseline'!AF154</f>
        <v>0</v>
      </c>
      <c r="M150" s="757">
        <f>'E-1 Off-Site Hedge Baseline'!AB153</f>
        <v>0</v>
      </c>
      <c r="V150" s="1">
        <f>'F-1 Off-Site WaterC'' Baseline'!AG153</f>
        <v>0</v>
      </c>
    </row>
    <row r="151" spans="1:22" x14ac:dyDescent="0.3">
      <c r="A151" s="757">
        <f>'D-1 Off-Site Habitat Baseline'!AF155</f>
        <v>0</v>
      </c>
      <c r="M151" s="757">
        <f>'E-1 Off-Site Hedge Baseline'!AB154</f>
        <v>0</v>
      </c>
      <c r="V151" s="1">
        <f>'F-1 Off-Site WaterC'' Baseline'!AG154</f>
        <v>0</v>
      </c>
    </row>
    <row r="152" spans="1:22" x14ac:dyDescent="0.3">
      <c r="A152" s="757">
        <f>'D-1 Off-Site Habitat Baseline'!AF156</f>
        <v>0</v>
      </c>
      <c r="M152" s="757">
        <f>'E-1 Off-Site Hedge Baseline'!AB155</f>
        <v>0</v>
      </c>
      <c r="V152" s="1">
        <f>'F-1 Off-Site WaterC'' Baseline'!AG155</f>
        <v>0</v>
      </c>
    </row>
    <row r="153" spans="1:22" x14ac:dyDescent="0.3">
      <c r="A153" s="757">
        <f>'D-1 Off-Site Habitat Baseline'!AF157</f>
        <v>0</v>
      </c>
      <c r="M153" s="757">
        <f>'E-1 Off-Site Hedge Baseline'!AB156</f>
        <v>0</v>
      </c>
      <c r="V153" s="1">
        <f>'F-1 Off-Site WaterC'' Baseline'!AG156</f>
        <v>0</v>
      </c>
    </row>
    <row r="154" spans="1:22" x14ac:dyDescent="0.3">
      <c r="A154" s="757">
        <f>'D-1 Off-Site Habitat Baseline'!AF158</f>
        <v>0</v>
      </c>
      <c r="M154" s="757">
        <f>'E-1 Off-Site Hedge Baseline'!AB157</f>
        <v>0</v>
      </c>
      <c r="V154" s="1">
        <f>'F-1 Off-Site WaterC'' Baseline'!AG157</f>
        <v>0</v>
      </c>
    </row>
    <row r="155" spans="1:22" x14ac:dyDescent="0.3">
      <c r="A155" s="757">
        <f>'D-1 Off-Site Habitat Baseline'!AF159</f>
        <v>0</v>
      </c>
      <c r="M155" s="757">
        <f>'E-1 Off-Site Hedge Baseline'!AB158</f>
        <v>0</v>
      </c>
      <c r="V155" s="1">
        <f>'F-1 Off-Site WaterC'' Baseline'!AG158</f>
        <v>0</v>
      </c>
    </row>
    <row r="156" spans="1:22" x14ac:dyDescent="0.3">
      <c r="A156" s="757">
        <f>'D-1 Off-Site Habitat Baseline'!AF160</f>
        <v>0</v>
      </c>
      <c r="M156" s="757">
        <f>'E-1 Off-Site Hedge Baseline'!AB159</f>
        <v>0</v>
      </c>
      <c r="V156" s="1">
        <f>'F-1 Off-Site WaterC'' Baseline'!AG159</f>
        <v>0</v>
      </c>
    </row>
    <row r="157" spans="1:22" x14ac:dyDescent="0.3">
      <c r="A157" s="757">
        <f>'D-1 Off-Site Habitat Baseline'!AF161</f>
        <v>0</v>
      </c>
      <c r="M157" s="757">
        <f>'E-1 Off-Site Hedge Baseline'!AB160</f>
        <v>0</v>
      </c>
      <c r="V157" s="1">
        <f>'F-1 Off-Site WaterC'' Baseline'!AG160</f>
        <v>0</v>
      </c>
    </row>
    <row r="158" spans="1:22" x14ac:dyDescent="0.3">
      <c r="A158" s="757">
        <f>'D-1 Off-Site Habitat Baseline'!AF162</f>
        <v>0</v>
      </c>
      <c r="M158" s="757">
        <f>'E-1 Off-Site Hedge Baseline'!AB161</f>
        <v>0</v>
      </c>
      <c r="V158" s="1">
        <f>'F-1 Off-Site WaterC'' Baseline'!AG161</f>
        <v>0</v>
      </c>
    </row>
    <row r="159" spans="1:22" x14ac:dyDescent="0.3">
      <c r="A159" s="757">
        <f>'D-1 Off-Site Habitat Baseline'!AF163</f>
        <v>0</v>
      </c>
      <c r="M159" s="757">
        <f>'E-1 Off-Site Hedge Baseline'!AB162</f>
        <v>0</v>
      </c>
      <c r="V159" s="1">
        <f>'F-1 Off-Site WaterC'' Baseline'!AG162</f>
        <v>0</v>
      </c>
    </row>
    <row r="160" spans="1:22" x14ac:dyDescent="0.3">
      <c r="A160" s="757">
        <f>'D-1 Off-Site Habitat Baseline'!AF164</f>
        <v>0</v>
      </c>
      <c r="M160" s="757">
        <f>'E-1 Off-Site Hedge Baseline'!AB163</f>
        <v>0</v>
      </c>
      <c r="V160" s="1">
        <f>'F-1 Off-Site WaterC'' Baseline'!AG163</f>
        <v>0</v>
      </c>
    </row>
    <row r="161" spans="1:22" x14ac:dyDescent="0.3">
      <c r="A161" s="757">
        <f>'D-1 Off-Site Habitat Baseline'!AF165</f>
        <v>0</v>
      </c>
      <c r="M161" s="757">
        <f>'E-1 Off-Site Hedge Baseline'!AB164</f>
        <v>0</v>
      </c>
      <c r="V161" s="1">
        <f>'F-1 Off-Site WaterC'' Baseline'!AG164</f>
        <v>0</v>
      </c>
    </row>
    <row r="162" spans="1:22" x14ac:dyDescent="0.3">
      <c r="A162" s="757">
        <f>'D-1 Off-Site Habitat Baseline'!AF166</f>
        <v>0</v>
      </c>
      <c r="M162" s="757">
        <f>'E-1 Off-Site Hedge Baseline'!AB165</f>
        <v>0</v>
      </c>
      <c r="V162" s="1">
        <f>'F-1 Off-Site WaterC'' Baseline'!AG165</f>
        <v>0</v>
      </c>
    </row>
    <row r="163" spans="1:22" x14ac:dyDescent="0.3">
      <c r="A163" s="757">
        <f>'D-1 Off-Site Habitat Baseline'!AF167</f>
        <v>0</v>
      </c>
      <c r="M163" s="757">
        <f>'E-1 Off-Site Hedge Baseline'!AB166</f>
        <v>0</v>
      </c>
      <c r="V163" s="1">
        <f>'F-1 Off-Site WaterC'' Baseline'!AG166</f>
        <v>0</v>
      </c>
    </row>
    <row r="164" spans="1:22" x14ac:dyDescent="0.3">
      <c r="A164" s="757">
        <f>'D-1 Off-Site Habitat Baseline'!AF168</f>
        <v>0</v>
      </c>
      <c r="M164" s="757">
        <f>'E-1 Off-Site Hedge Baseline'!AB167</f>
        <v>0</v>
      </c>
      <c r="V164" s="1">
        <f>'F-1 Off-Site WaterC'' Baseline'!AG167</f>
        <v>0</v>
      </c>
    </row>
    <row r="165" spans="1:22" x14ac:dyDescent="0.3">
      <c r="A165" s="757">
        <f>'D-1 Off-Site Habitat Baseline'!AF169</f>
        <v>0</v>
      </c>
      <c r="M165" s="757">
        <f>'E-1 Off-Site Hedge Baseline'!AB168</f>
        <v>0</v>
      </c>
      <c r="V165" s="1">
        <f>'F-1 Off-Site WaterC'' Baseline'!AG168</f>
        <v>0</v>
      </c>
    </row>
    <row r="166" spans="1:22" x14ac:dyDescent="0.3">
      <c r="A166" s="757">
        <f>'D-1 Off-Site Habitat Baseline'!AF170</f>
        <v>0</v>
      </c>
      <c r="M166" s="757">
        <f>'E-1 Off-Site Hedge Baseline'!AB169</f>
        <v>0</v>
      </c>
      <c r="V166" s="1">
        <f>'F-1 Off-Site WaterC'' Baseline'!AG169</f>
        <v>0</v>
      </c>
    </row>
    <row r="167" spans="1:22" x14ac:dyDescent="0.3">
      <c r="A167" s="757">
        <f>'D-1 Off-Site Habitat Baseline'!AF171</f>
        <v>0</v>
      </c>
      <c r="M167" s="757">
        <f>'E-1 Off-Site Hedge Baseline'!AB170</f>
        <v>0</v>
      </c>
      <c r="V167" s="1">
        <f>'F-1 Off-Site WaterC'' Baseline'!AG170</f>
        <v>0</v>
      </c>
    </row>
    <row r="168" spans="1:22" x14ac:dyDescent="0.3">
      <c r="A168" s="757">
        <f>'D-1 Off-Site Habitat Baseline'!AF172</f>
        <v>0</v>
      </c>
      <c r="M168" s="757">
        <f>'E-1 Off-Site Hedge Baseline'!AB171</f>
        <v>0</v>
      </c>
      <c r="V168" s="1">
        <f>'F-1 Off-Site WaterC'' Baseline'!AG171</f>
        <v>0</v>
      </c>
    </row>
    <row r="169" spans="1:22" x14ac:dyDescent="0.3">
      <c r="A169" s="757">
        <f>'D-1 Off-Site Habitat Baseline'!AF173</f>
        <v>0</v>
      </c>
      <c r="M169" s="757">
        <f>'E-1 Off-Site Hedge Baseline'!AB172</f>
        <v>0</v>
      </c>
      <c r="V169" s="1">
        <f>'F-1 Off-Site WaterC'' Baseline'!AG172</f>
        <v>0</v>
      </c>
    </row>
    <row r="170" spans="1:22" x14ac:dyDescent="0.3">
      <c r="A170" s="757">
        <f>'D-1 Off-Site Habitat Baseline'!AF174</f>
        <v>0</v>
      </c>
      <c r="M170" s="757">
        <f>'E-1 Off-Site Hedge Baseline'!AB173</f>
        <v>0</v>
      </c>
      <c r="V170" s="1">
        <f>'F-1 Off-Site WaterC'' Baseline'!AG173</f>
        <v>0</v>
      </c>
    </row>
    <row r="171" spans="1:22" x14ac:dyDescent="0.3">
      <c r="A171" s="757">
        <f>'D-1 Off-Site Habitat Baseline'!AF175</f>
        <v>0</v>
      </c>
      <c r="M171" s="757">
        <f>'E-1 Off-Site Hedge Baseline'!AB174</f>
        <v>0</v>
      </c>
      <c r="V171" s="1">
        <f>'F-1 Off-Site WaterC'' Baseline'!AG174</f>
        <v>0</v>
      </c>
    </row>
    <row r="172" spans="1:22" x14ac:dyDescent="0.3">
      <c r="A172" s="757">
        <f>'D-1 Off-Site Habitat Baseline'!AF176</f>
        <v>0</v>
      </c>
      <c r="M172" s="757">
        <f>'E-1 Off-Site Hedge Baseline'!AB175</f>
        <v>0</v>
      </c>
      <c r="V172" s="1">
        <f>'F-1 Off-Site WaterC'' Baseline'!AG175</f>
        <v>0</v>
      </c>
    </row>
    <row r="173" spans="1:22" x14ac:dyDescent="0.3">
      <c r="A173" s="757">
        <f>'D-1 Off-Site Habitat Baseline'!AF177</f>
        <v>0</v>
      </c>
      <c r="M173" s="757">
        <f>'E-1 Off-Site Hedge Baseline'!AB176</f>
        <v>0</v>
      </c>
      <c r="V173" s="1">
        <f>'F-1 Off-Site WaterC'' Baseline'!AG176</f>
        <v>0</v>
      </c>
    </row>
    <row r="174" spans="1:22" x14ac:dyDescent="0.3">
      <c r="A174" s="757">
        <f>'D-1 Off-Site Habitat Baseline'!AF178</f>
        <v>0</v>
      </c>
      <c r="M174" s="757">
        <f>'E-1 Off-Site Hedge Baseline'!AB177</f>
        <v>0</v>
      </c>
      <c r="V174" s="1">
        <f>'F-1 Off-Site WaterC'' Baseline'!AG177</f>
        <v>0</v>
      </c>
    </row>
    <row r="175" spans="1:22" x14ac:dyDescent="0.3">
      <c r="A175" s="757">
        <f>'D-1 Off-Site Habitat Baseline'!AF179</f>
        <v>0</v>
      </c>
      <c r="M175" s="757">
        <f>'E-1 Off-Site Hedge Baseline'!AB178</f>
        <v>0</v>
      </c>
      <c r="V175" s="1">
        <f>'F-1 Off-Site WaterC'' Baseline'!AG178</f>
        <v>0</v>
      </c>
    </row>
    <row r="176" spans="1:22" x14ac:dyDescent="0.3">
      <c r="A176" s="757">
        <f>'D-1 Off-Site Habitat Baseline'!AF180</f>
        <v>0</v>
      </c>
      <c r="M176" s="757">
        <f>'E-1 Off-Site Hedge Baseline'!AB179</f>
        <v>0</v>
      </c>
      <c r="V176" s="1">
        <f>'F-1 Off-Site WaterC'' Baseline'!AG179</f>
        <v>0</v>
      </c>
    </row>
    <row r="177" spans="1:22" x14ac:dyDescent="0.3">
      <c r="A177" s="757">
        <f>'D-1 Off-Site Habitat Baseline'!AF181</f>
        <v>0</v>
      </c>
      <c r="M177" s="757">
        <f>'E-1 Off-Site Hedge Baseline'!AB180</f>
        <v>0</v>
      </c>
      <c r="V177" s="1">
        <f>'F-1 Off-Site WaterC'' Baseline'!AG180</f>
        <v>0</v>
      </c>
    </row>
    <row r="178" spans="1:22" x14ac:dyDescent="0.3">
      <c r="A178" s="757">
        <f>'D-1 Off-Site Habitat Baseline'!AF182</f>
        <v>0</v>
      </c>
      <c r="M178" s="757">
        <f>'E-1 Off-Site Hedge Baseline'!AB181</f>
        <v>0</v>
      </c>
      <c r="V178" s="1">
        <f>'F-1 Off-Site WaterC'' Baseline'!AG181</f>
        <v>0</v>
      </c>
    </row>
    <row r="179" spans="1:22" x14ac:dyDescent="0.3">
      <c r="A179" s="757">
        <f>'D-1 Off-Site Habitat Baseline'!AF183</f>
        <v>0</v>
      </c>
      <c r="M179" s="757">
        <f>'E-1 Off-Site Hedge Baseline'!AB182</f>
        <v>0</v>
      </c>
      <c r="V179" s="1">
        <f>'F-1 Off-Site WaterC'' Baseline'!AG182</f>
        <v>0</v>
      </c>
    </row>
    <row r="180" spans="1:22" x14ac:dyDescent="0.3">
      <c r="A180" s="757">
        <f>'D-1 Off-Site Habitat Baseline'!AF184</f>
        <v>0</v>
      </c>
      <c r="M180" s="757">
        <f>'E-1 Off-Site Hedge Baseline'!AB183</f>
        <v>0</v>
      </c>
      <c r="V180" s="1">
        <f>'F-1 Off-Site WaterC'' Baseline'!AG183</f>
        <v>0</v>
      </c>
    </row>
    <row r="181" spans="1:22" x14ac:dyDescent="0.3">
      <c r="A181" s="757">
        <f>'D-1 Off-Site Habitat Baseline'!AF185</f>
        <v>0</v>
      </c>
      <c r="M181" s="757">
        <f>'E-1 Off-Site Hedge Baseline'!AB184</f>
        <v>0</v>
      </c>
      <c r="V181" s="1">
        <f>'F-1 Off-Site WaterC'' Baseline'!AG184</f>
        <v>0</v>
      </c>
    </row>
    <row r="182" spans="1:22" x14ac:dyDescent="0.3">
      <c r="A182" s="757">
        <f>'D-1 Off-Site Habitat Baseline'!AF186</f>
        <v>0</v>
      </c>
      <c r="M182" s="757">
        <f>'E-1 Off-Site Hedge Baseline'!AB185</f>
        <v>0</v>
      </c>
      <c r="V182" s="1">
        <f>'F-1 Off-Site WaterC'' Baseline'!AG185</f>
        <v>0</v>
      </c>
    </row>
    <row r="183" spans="1:22" x14ac:dyDescent="0.3">
      <c r="A183" s="757">
        <f>'D-1 Off-Site Habitat Baseline'!AF187</f>
        <v>0</v>
      </c>
      <c r="M183" s="757">
        <f>'E-1 Off-Site Hedge Baseline'!AB186</f>
        <v>0</v>
      </c>
      <c r="V183" s="1">
        <f>'F-1 Off-Site WaterC'' Baseline'!AG186</f>
        <v>0</v>
      </c>
    </row>
    <row r="184" spans="1:22" x14ac:dyDescent="0.3">
      <c r="A184" s="757">
        <f>'D-1 Off-Site Habitat Baseline'!AF188</f>
        <v>0</v>
      </c>
      <c r="M184" s="757">
        <f>'E-1 Off-Site Hedge Baseline'!AB187</f>
        <v>0</v>
      </c>
      <c r="V184" s="1">
        <f>'F-1 Off-Site WaterC'' Baseline'!AG187</f>
        <v>0</v>
      </c>
    </row>
    <row r="185" spans="1:22" x14ac:dyDescent="0.3">
      <c r="A185" s="757">
        <f>'D-1 Off-Site Habitat Baseline'!AF189</f>
        <v>0</v>
      </c>
      <c r="M185" s="757">
        <f>'E-1 Off-Site Hedge Baseline'!AB188</f>
        <v>0</v>
      </c>
      <c r="V185" s="1">
        <f>'F-1 Off-Site WaterC'' Baseline'!AG188</f>
        <v>0</v>
      </c>
    </row>
    <row r="186" spans="1:22" x14ac:dyDescent="0.3">
      <c r="A186" s="757">
        <f>'D-1 Off-Site Habitat Baseline'!AF190</f>
        <v>0</v>
      </c>
      <c r="M186" s="757">
        <f>'E-1 Off-Site Hedge Baseline'!AB189</f>
        <v>0</v>
      </c>
      <c r="V186" s="1">
        <f>'F-1 Off-Site WaterC'' Baseline'!AG189</f>
        <v>0</v>
      </c>
    </row>
    <row r="187" spans="1:22" x14ac:dyDescent="0.3">
      <c r="A187" s="757">
        <f>'D-1 Off-Site Habitat Baseline'!AF191</f>
        <v>0</v>
      </c>
      <c r="M187" s="757">
        <f>'E-1 Off-Site Hedge Baseline'!AB190</f>
        <v>0</v>
      </c>
      <c r="V187" s="1">
        <f>'F-1 Off-Site WaterC'' Baseline'!AG190</f>
        <v>0</v>
      </c>
    </row>
    <row r="188" spans="1:22" x14ac:dyDescent="0.3">
      <c r="A188" s="757">
        <f>'D-1 Off-Site Habitat Baseline'!AF192</f>
        <v>0</v>
      </c>
      <c r="M188" s="757">
        <f>'E-1 Off-Site Hedge Baseline'!AB191</f>
        <v>0</v>
      </c>
      <c r="V188" s="1">
        <f>'F-1 Off-Site WaterC'' Baseline'!AG191</f>
        <v>0</v>
      </c>
    </row>
    <row r="189" spans="1:22" x14ac:dyDescent="0.3">
      <c r="A189" s="757">
        <f>'D-1 Off-Site Habitat Baseline'!AF193</f>
        <v>0</v>
      </c>
      <c r="M189" s="757">
        <f>'E-1 Off-Site Hedge Baseline'!AB192</f>
        <v>0</v>
      </c>
      <c r="V189" s="1">
        <f>'F-1 Off-Site WaterC'' Baseline'!AG192</f>
        <v>0</v>
      </c>
    </row>
    <row r="190" spans="1:22" x14ac:dyDescent="0.3">
      <c r="A190" s="757">
        <f>'D-1 Off-Site Habitat Baseline'!AF194</f>
        <v>0</v>
      </c>
      <c r="M190" s="757">
        <f>'E-1 Off-Site Hedge Baseline'!AB193</f>
        <v>0</v>
      </c>
      <c r="V190" s="1">
        <f>'F-1 Off-Site WaterC'' Baseline'!AG193</f>
        <v>0</v>
      </c>
    </row>
    <row r="191" spans="1:22" x14ac:dyDescent="0.3">
      <c r="A191" s="757">
        <f>'D-1 Off-Site Habitat Baseline'!AF195</f>
        <v>0</v>
      </c>
      <c r="M191" s="757">
        <f>'E-1 Off-Site Hedge Baseline'!AB194</f>
        <v>0</v>
      </c>
      <c r="V191" s="1">
        <f>'F-1 Off-Site WaterC'' Baseline'!AG194</f>
        <v>0</v>
      </c>
    </row>
    <row r="192" spans="1:22" x14ac:dyDescent="0.3">
      <c r="A192" s="757">
        <f>'D-1 Off-Site Habitat Baseline'!AF196</f>
        <v>0</v>
      </c>
      <c r="M192" s="757">
        <f>'E-1 Off-Site Hedge Baseline'!AB195</f>
        <v>0</v>
      </c>
      <c r="V192" s="1">
        <f>'F-1 Off-Site WaterC'' Baseline'!AG195</f>
        <v>0</v>
      </c>
    </row>
    <row r="193" spans="1:22" x14ac:dyDescent="0.3">
      <c r="A193" s="757">
        <f>'D-1 Off-Site Habitat Baseline'!AF197</f>
        <v>0</v>
      </c>
      <c r="M193" s="757">
        <f>'E-1 Off-Site Hedge Baseline'!AB196</f>
        <v>0</v>
      </c>
      <c r="V193" s="1">
        <f>'F-1 Off-Site WaterC'' Baseline'!AG196</f>
        <v>0</v>
      </c>
    </row>
    <row r="194" spans="1:22" x14ac:dyDescent="0.3">
      <c r="A194" s="757">
        <f>'D-1 Off-Site Habitat Baseline'!AF198</f>
        <v>0</v>
      </c>
      <c r="M194" s="757">
        <f>'E-1 Off-Site Hedge Baseline'!AB197</f>
        <v>0</v>
      </c>
      <c r="V194" s="1">
        <f>'F-1 Off-Site WaterC'' Baseline'!AG197</f>
        <v>0</v>
      </c>
    </row>
    <row r="195" spans="1:22" x14ac:dyDescent="0.3">
      <c r="A195" s="757">
        <f>'D-1 Off-Site Habitat Baseline'!AF199</f>
        <v>0</v>
      </c>
      <c r="M195" s="757">
        <f>'E-1 Off-Site Hedge Baseline'!AB198</f>
        <v>0</v>
      </c>
      <c r="V195" s="1">
        <f>'F-1 Off-Site WaterC'' Baseline'!AG198</f>
        <v>0</v>
      </c>
    </row>
    <row r="196" spans="1:22" x14ac:dyDescent="0.3">
      <c r="A196" s="757">
        <f>'D-1 Off-Site Habitat Baseline'!AF200</f>
        <v>0</v>
      </c>
      <c r="M196" s="757">
        <f>'E-1 Off-Site Hedge Baseline'!AB199</f>
        <v>0</v>
      </c>
      <c r="V196" s="1">
        <f>'F-1 Off-Site WaterC'' Baseline'!AG199</f>
        <v>0</v>
      </c>
    </row>
    <row r="197" spans="1:22" x14ac:dyDescent="0.3">
      <c r="A197" s="757">
        <f>'D-1 Off-Site Habitat Baseline'!AF201</f>
        <v>0</v>
      </c>
      <c r="M197" s="757">
        <f>'E-1 Off-Site Hedge Baseline'!AB200</f>
        <v>0</v>
      </c>
      <c r="V197" s="1">
        <f>'F-1 Off-Site WaterC'' Baseline'!AG200</f>
        <v>0</v>
      </c>
    </row>
    <row r="198" spans="1:22" x14ac:dyDescent="0.3">
      <c r="A198" s="757">
        <f>'D-1 Off-Site Habitat Baseline'!AF202</f>
        <v>0</v>
      </c>
      <c r="M198" s="757">
        <f>'E-1 Off-Site Hedge Baseline'!AB201</f>
        <v>0</v>
      </c>
      <c r="V198" s="1">
        <f>'F-1 Off-Site WaterC'' Baseline'!AG201</f>
        <v>0</v>
      </c>
    </row>
    <row r="199" spans="1:22" x14ac:dyDescent="0.3">
      <c r="A199" s="757">
        <f>'D-1 Off-Site Habitat Baseline'!AF203</f>
        <v>0</v>
      </c>
      <c r="M199" s="757">
        <f>'E-1 Off-Site Hedge Baseline'!AB202</f>
        <v>0</v>
      </c>
      <c r="V199" s="1">
        <f>'F-1 Off-Site WaterC'' Baseline'!AG202</f>
        <v>0</v>
      </c>
    </row>
    <row r="200" spans="1:22" x14ac:dyDescent="0.3">
      <c r="A200" s="757">
        <f>'D-1 Off-Site Habitat Baseline'!AF204</f>
        <v>0</v>
      </c>
      <c r="M200" s="757">
        <f>'E-1 Off-Site Hedge Baseline'!AB203</f>
        <v>0</v>
      </c>
      <c r="V200" s="1">
        <f>'F-1 Off-Site WaterC'' Baseline'!AG203</f>
        <v>0</v>
      </c>
    </row>
    <row r="201" spans="1:22" x14ac:dyDescent="0.3">
      <c r="A201" s="757">
        <f>'D-1 Off-Site Habitat Baseline'!AF205</f>
        <v>0</v>
      </c>
      <c r="M201" s="757">
        <f>'E-1 Off-Site Hedge Baseline'!AB204</f>
        <v>0</v>
      </c>
      <c r="V201" s="1">
        <f>'F-1 Off-Site WaterC'' Baseline'!AG204</f>
        <v>0</v>
      </c>
    </row>
    <row r="202" spans="1:22" x14ac:dyDescent="0.3">
      <c r="A202" s="757">
        <f>'D-1 Off-Site Habitat Baseline'!AF206</f>
        <v>0</v>
      </c>
      <c r="M202" s="757">
        <f>'E-1 Off-Site Hedge Baseline'!AB205</f>
        <v>0</v>
      </c>
      <c r="V202" s="1">
        <f>'F-1 Off-Site WaterC'' Baseline'!AG205</f>
        <v>0</v>
      </c>
    </row>
    <row r="203" spans="1:22" x14ac:dyDescent="0.3">
      <c r="A203" s="757">
        <f>'D-1 Off-Site Habitat Baseline'!AF207</f>
        <v>0</v>
      </c>
      <c r="M203" s="757">
        <f>'E-1 Off-Site Hedge Baseline'!AB206</f>
        <v>0</v>
      </c>
      <c r="V203" s="1">
        <f>'F-1 Off-Site WaterC'' Baseline'!AG206</f>
        <v>0</v>
      </c>
    </row>
    <row r="204" spans="1:22" x14ac:dyDescent="0.3">
      <c r="A204" s="757">
        <f>'D-1 Off-Site Habitat Baseline'!AF208</f>
        <v>0</v>
      </c>
      <c r="M204" s="757">
        <f>'E-1 Off-Site Hedge Baseline'!AB207</f>
        <v>0</v>
      </c>
      <c r="V204" s="1">
        <f>'F-1 Off-Site WaterC'' Baseline'!AG207</f>
        <v>0</v>
      </c>
    </row>
    <row r="205" spans="1:22" x14ac:dyDescent="0.3">
      <c r="A205" s="757">
        <f>'D-1 Off-Site Habitat Baseline'!AF209</f>
        <v>0</v>
      </c>
      <c r="M205" s="757">
        <f>'E-1 Off-Site Hedge Baseline'!AB208</f>
        <v>0</v>
      </c>
      <c r="V205" s="1">
        <f>'F-1 Off-Site WaterC'' Baseline'!AG208</f>
        <v>0</v>
      </c>
    </row>
    <row r="206" spans="1:22" x14ac:dyDescent="0.3">
      <c r="A206" s="757">
        <f>'D-1 Off-Site Habitat Baseline'!AF210</f>
        <v>0</v>
      </c>
      <c r="M206" s="757">
        <f>'E-1 Off-Site Hedge Baseline'!AB209</f>
        <v>0</v>
      </c>
      <c r="V206" s="1">
        <f>'F-1 Off-Site WaterC'' Baseline'!AG209</f>
        <v>0</v>
      </c>
    </row>
    <row r="207" spans="1:22" x14ac:dyDescent="0.3">
      <c r="A207" s="757">
        <f>'D-1 Off-Site Habitat Baseline'!AF211</f>
        <v>0</v>
      </c>
      <c r="M207" s="757">
        <f>'E-1 Off-Site Hedge Baseline'!AB210</f>
        <v>0</v>
      </c>
      <c r="V207" s="1">
        <f>'F-1 Off-Site WaterC'' Baseline'!AG210</f>
        <v>0</v>
      </c>
    </row>
    <row r="208" spans="1:22" x14ac:dyDescent="0.3">
      <c r="A208" s="757">
        <f>'D-1 Off-Site Habitat Baseline'!AF212</f>
        <v>0</v>
      </c>
      <c r="M208" s="757">
        <f>'E-1 Off-Site Hedge Baseline'!AB211</f>
        <v>0</v>
      </c>
      <c r="V208" s="1">
        <f>'F-1 Off-Site WaterC'' Baseline'!AG211</f>
        <v>0</v>
      </c>
    </row>
    <row r="209" spans="1:22" x14ac:dyDescent="0.3">
      <c r="A209" s="757">
        <f>'D-1 Off-Site Habitat Baseline'!AF213</f>
        <v>0</v>
      </c>
      <c r="M209" s="757">
        <f>'E-1 Off-Site Hedge Baseline'!AB212</f>
        <v>0</v>
      </c>
      <c r="V209" s="1">
        <f>'F-1 Off-Site WaterC'' Baseline'!AG212</f>
        <v>0</v>
      </c>
    </row>
    <row r="210" spans="1:22" x14ac:dyDescent="0.3">
      <c r="A210" s="757">
        <f>'D-1 Off-Site Habitat Baseline'!AF214</f>
        <v>0</v>
      </c>
      <c r="M210" s="757">
        <f>'E-1 Off-Site Hedge Baseline'!AB213</f>
        <v>0</v>
      </c>
      <c r="V210" s="1">
        <f>'F-1 Off-Site WaterC'' Baseline'!AG213</f>
        <v>0</v>
      </c>
    </row>
    <row r="211" spans="1:22" x14ac:dyDescent="0.3">
      <c r="A211" s="757">
        <f>'D-1 Off-Site Habitat Baseline'!AF215</f>
        <v>0</v>
      </c>
      <c r="M211" s="757">
        <f>'E-1 Off-Site Hedge Baseline'!AB214</f>
        <v>0</v>
      </c>
      <c r="V211" s="1">
        <f>'F-1 Off-Site WaterC'' Baseline'!AG214</f>
        <v>0</v>
      </c>
    </row>
    <row r="212" spans="1:22" x14ac:dyDescent="0.3">
      <c r="A212" s="757">
        <f>'D-1 Off-Site Habitat Baseline'!AF216</f>
        <v>0</v>
      </c>
      <c r="M212" s="757">
        <f>'E-1 Off-Site Hedge Baseline'!AB215</f>
        <v>0</v>
      </c>
      <c r="V212" s="1">
        <f>'F-1 Off-Site WaterC'' Baseline'!AG215</f>
        <v>0</v>
      </c>
    </row>
    <row r="213" spans="1:22" x14ac:dyDescent="0.3">
      <c r="A213" s="757">
        <f>'D-1 Off-Site Habitat Baseline'!AF217</f>
        <v>0</v>
      </c>
      <c r="M213" s="757">
        <f>'E-1 Off-Site Hedge Baseline'!AB216</f>
        <v>0</v>
      </c>
      <c r="V213" s="1">
        <f>'F-1 Off-Site WaterC'' Baseline'!AG216</f>
        <v>0</v>
      </c>
    </row>
    <row r="214" spans="1:22" x14ac:dyDescent="0.3">
      <c r="A214" s="757">
        <f>'D-1 Off-Site Habitat Baseline'!AF218</f>
        <v>0</v>
      </c>
      <c r="M214" s="757">
        <f>'E-1 Off-Site Hedge Baseline'!AB217</f>
        <v>0</v>
      </c>
      <c r="V214" s="1">
        <f>'F-1 Off-Site WaterC'' Baseline'!AG217</f>
        <v>0</v>
      </c>
    </row>
    <row r="215" spans="1:22" x14ac:dyDescent="0.3">
      <c r="A215" s="757">
        <f>'D-1 Off-Site Habitat Baseline'!AF219</f>
        <v>0</v>
      </c>
      <c r="M215" s="757">
        <f>'E-1 Off-Site Hedge Baseline'!AB218</f>
        <v>0</v>
      </c>
      <c r="V215" s="1">
        <f>'F-1 Off-Site WaterC'' Baseline'!AG218</f>
        <v>0</v>
      </c>
    </row>
    <row r="216" spans="1:22" x14ac:dyDescent="0.3">
      <c r="A216" s="757">
        <f>'D-1 Off-Site Habitat Baseline'!AF220</f>
        <v>0</v>
      </c>
      <c r="M216" s="757">
        <f>'E-1 Off-Site Hedge Baseline'!AB219</f>
        <v>0</v>
      </c>
      <c r="V216" s="1">
        <f>'F-1 Off-Site WaterC'' Baseline'!AG219</f>
        <v>0</v>
      </c>
    </row>
    <row r="217" spans="1:22" x14ac:dyDescent="0.3">
      <c r="A217" s="757">
        <f>'D-1 Off-Site Habitat Baseline'!AF221</f>
        <v>0</v>
      </c>
      <c r="M217" s="757">
        <f>'E-1 Off-Site Hedge Baseline'!AB220</f>
        <v>0</v>
      </c>
      <c r="V217" s="1">
        <f>'F-1 Off-Site WaterC'' Baseline'!AG220</f>
        <v>0</v>
      </c>
    </row>
    <row r="218" spans="1:22" x14ac:dyDescent="0.3">
      <c r="A218" s="757">
        <f>'D-1 Off-Site Habitat Baseline'!AF222</f>
        <v>0</v>
      </c>
      <c r="M218" s="757">
        <f>'E-1 Off-Site Hedge Baseline'!AB221</f>
        <v>0</v>
      </c>
      <c r="V218" s="1">
        <f>'F-1 Off-Site WaterC'' Baseline'!AG221</f>
        <v>0</v>
      </c>
    </row>
    <row r="219" spans="1:22" x14ac:dyDescent="0.3">
      <c r="A219" s="757">
        <f>'D-1 Off-Site Habitat Baseline'!AF223</f>
        <v>0</v>
      </c>
      <c r="M219" s="757">
        <f>'E-1 Off-Site Hedge Baseline'!AB222</f>
        <v>0</v>
      </c>
      <c r="V219" s="1">
        <f>'F-1 Off-Site WaterC'' Baseline'!AG222</f>
        <v>0</v>
      </c>
    </row>
    <row r="220" spans="1:22" x14ac:dyDescent="0.3">
      <c r="A220" s="757">
        <f>'D-1 Off-Site Habitat Baseline'!AF224</f>
        <v>0</v>
      </c>
      <c r="M220" s="757">
        <f>'E-1 Off-Site Hedge Baseline'!AB223</f>
        <v>0</v>
      </c>
      <c r="V220" s="1">
        <f>'F-1 Off-Site WaterC'' Baseline'!AG223</f>
        <v>0</v>
      </c>
    </row>
    <row r="221" spans="1:22" x14ac:dyDescent="0.3">
      <c r="A221" s="757">
        <f>'D-1 Off-Site Habitat Baseline'!AF225</f>
        <v>0</v>
      </c>
      <c r="M221" s="757">
        <f>'E-1 Off-Site Hedge Baseline'!AB224</f>
        <v>0</v>
      </c>
      <c r="V221" s="1">
        <f>'F-1 Off-Site WaterC'' Baseline'!AG224</f>
        <v>0</v>
      </c>
    </row>
    <row r="222" spans="1:22" x14ac:dyDescent="0.3">
      <c r="A222" s="757">
        <f>'D-1 Off-Site Habitat Baseline'!AF226</f>
        <v>0</v>
      </c>
      <c r="M222" s="757">
        <f>'E-1 Off-Site Hedge Baseline'!AB225</f>
        <v>0</v>
      </c>
      <c r="V222" s="1">
        <f>'F-1 Off-Site WaterC'' Baseline'!AG225</f>
        <v>0</v>
      </c>
    </row>
    <row r="223" spans="1:22" x14ac:dyDescent="0.3">
      <c r="A223" s="757">
        <f>'D-1 Off-Site Habitat Baseline'!AF227</f>
        <v>0</v>
      </c>
      <c r="M223" s="757">
        <f>'E-1 Off-Site Hedge Baseline'!AB226</f>
        <v>0</v>
      </c>
      <c r="V223" s="1">
        <f>'F-1 Off-Site WaterC'' Baseline'!AG226</f>
        <v>0</v>
      </c>
    </row>
    <row r="224" spans="1:22" x14ac:dyDescent="0.3">
      <c r="A224" s="757">
        <f>'D-1 Off-Site Habitat Baseline'!AF228</f>
        <v>0</v>
      </c>
      <c r="M224" s="757">
        <f>'E-1 Off-Site Hedge Baseline'!AB227</f>
        <v>0</v>
      </c>
      <c r="V224" s="1">
        <f>'F-1 Off-Site WaterC'' Baseline'!AG227</f>
        <v>0</v>
      </c>
    </row>
    <row r="225" spans="1:22" x14ac:dyDescent="0.3">
      <c r="A225" s="757">
        <f>'D-1 Off-Site Habitat Baseline'!AF229</f>
        <v>0</v>
      </c>
      <c r="M225" s="757">
        <f>'E-1 Off-Site Hedge Baseline'!AB228</f>
        <v>0</v>
      </c>
      <c r="V225" s="1">
        <f>'F-1 Off-Site WaterC'' Baseline'!AG228</f>
        <v>0</v>
      </c>
    </row>
    <row r="226" spans="1:22" x14ac:dyDescent="0.3">
      <c r="A226" s="757">
        <f>'D-1 Off-Site Habitat Baseline'!AF230</f>
        <v>0</v>
      </c>
      <c r="M226" s="757">
        <f>'E-1 Off-Site Hedge Baseline'!AB229</f>
        <v>0</v>
      </c>
      <c r="V226" s="1">
        <f>'F-1 Off-Site WaterC'' Baseline'!AG229</f>
        <v>0</v>
      </c>
    </row>
    <row r="227" spans="1:22" x14ac:dyDescent="0.3">
      <c r="A227" s="757">
        <f>'D-1 Off-Site Habitat Baseline'!AF231</f>
        <v>0</v>
      </c>
      <c r="M227" s="757">
        <f>'E-1 Off-Site Hedge Baseline'!AB230</f>
        <v>0</v>
      </c>
      <c r="V227" s="1">
        <f>'F-1 Off-Site WaterC'' Baseline'!AG230</f>
        <v>0</v>
      </c>
    </row>
    <row r="228" spans="1:22" x14ac:dyDescent="0.3">
      <c r="A228" s="757">
        <f>'D-1 Off-Site Habitat Baseline'!AF232</f>
        <v>0</v>
      </c>
      <c r="M228" s="757">
        <f>'E-1 Off-Site Hedge Baseline'!AB231</f>
        <v>0</v>
      </c>
      <c r="V228" s="1">
        <f>'F-1 Off-Site WaterC'' Baseline'!AG231</f>
        <v>0</v>
      </c>
    </row>
    <row r="229" spans="1:22" x14ac:dyDescent="0.3">
      <c r="A229" s="757">
        <f>'D-1 Off-Site Habitat Baseline'!AF233</f>
        <v>0</v>
      </c>
      <c r="M229" s="757">
        <f>'E-1 Off-Site Hedge Baseline'!AB232</f>
        <v>0</v>
      </c>
      <c r="V229" s="1">
        <f>'F-1 Off-Site WaterC'' Baseline'!AG232</f>
        <v>0</v>
      </c>
    </row>
    <row r="230" spans="1:22" x14ac:dyDescent="0.3">
      <c r="A230" s="757">
        <f>'D-1 Off-Site Habitat Baseline'!AF234</f>
        <v>0</v>
      </c>
      <c r="M230" s="757">
        <f>'E-1 Off-Site Hedge Baseline'!AB233</f>
        <v>0</v>
      </c>
      <c r="V230" s="1">
        <f>'F-1 Off-Site WaterC'' Baseline'!AG233</f>
        <v>0</v>
      </c>
    </row>
    <row r="231" spans="1:22" x14ac:dyDescent="0.3">
      <c r="A231" s="757">
        <f>'D-1 Off-Site Habitat Baseline'!AF235</f>
        <v>0</v>
      </c>
      <c r="M231" s="757">
        <f>'E-1 Off-Site Hedge Baseline'!AB234</f>
        <v>0</v>
      </c>
      <c r="V231" s="1">
        <f>'F-1 Off-Site WaterC'' Baseline'!AG234</f>
        <v>0</v>
      </c>
    </row>
    <row r="232" spans="1:22" x14ac:dyDescent="0.3">
      <c r="A232" s="757">
        <f>'D-1 Off-Site Habitat Baseline'!AF236</f>
        <v>0</v>
      </c>
      <c r="M232" s="757">
        <f>'E-1 Off-Site Hedge Baseline'!AB235</f>
        <v>0</v>
      </c>
      <c r="V232" s="1">
        <f>'F-1 Off-Site WaterC'' Baseline'!AG235</f>
        <v>0</v>
      </c>
    </row>
    <row r="233" spans="1:22" x14ac:dyDescent="0.3">
      <c r="A233" s="757">
        <f>'D-1 Off-Site Habitat Baseline'!AF237</f>
        <v>0</v>
      </c>
      <c r="M233" s="757">
        <f>'E-1 Off-Site Hedge Baseline'!AB236</f>
        <v>0</v>
      </c>
      <c r="V233" s="1">
        <f>'F-1 Off-Site WaterC'' Baseline'!AG236</f>
        <v>0</v>
      </c>
    </row>
    <row r="234" spans="1:22" x14ac:dyDescent="0.3">
      <c r="A234" s="757">
        <f>'D-1 Off-Site Habitat Baseline'!AF238</f>
        <v>0</v>
      </c>
      <c r="M234" s="757">
        <f>'E-1 Off-Site Hedge Baseline'!AB237</f>
        <v>0</v>
      </c>
      <c r="V234" s="1">
        <f>'F-1 Off-Site WaterC'' Baseline'!AG237</f>
        <v>0</v>
      </c>
    </row>
    <row r="235" spans="1:22" x14ac:dyDescent="0.3">
      <c r="A235" s="757">
        <f>'D-1 Off-Site Habitat Baseline'!AF239</f>
        <v>0</v>
      </c>
      <c r="M235" s="757">
        <f>'E-1 Off-Site Hedge Baseline'!AB238</f>
        <v>0</v>
      </c>
      <c r="V235" s="1">
        <f>'F-1 Off-Site WaterC'' Baseline'!AG238</f>
        <v>0</v>
      </c>
    </row>
    <row r="236" spans="1:22" x14ac:dyDescent="0.3">
      <c r="A236" s="757">
        <f>'D-1 Off-Site Habitat Baseline'!AF240</f>
        <v>0</v>
      </c>
      <c r="M236" s="757">
        <f>'E-1 Off-Site Hedge Baseline'!AB239</f>
        <v>0</v>
      </c>
      <c r="V236" s="1">
        <f>'F-1 Off-Site WaterC'' Baseline'!AG239</f>
        <v>0</v>
      </c>
    </row>
    <row r="237" spans="1:22" x14ac:dyDescent="0.3">
      <c r="A237" s="757">
        <f>'D-1 Off-Site Habitat Baseline'!AF241</f>
        <v>0</v>
      </c>
      <c r="M237" s="757">
        <f>'E-1 Off-Site Hedge Baseline'!AB240</f>
        <v>0</v>
      </c>
      <c r="V237" s="1">
        <f>'F-1 Off-Site WaterC'' Baseline'!AG240</f>
        <v>0</v>
      </c>
    </row>
    <row r="238" spans="1:22" x14ac:dyDescent="0.3">
      <c r="A238" s="757">
        <f>'D-1 Off-Site Habitat Baseline'!AF242</f>
        <v>0</v>
      </c>
      <c r="M238" s="757">
        <f>'E-1 Off-Site Hedge Baseline'!AB241</f>
        <v>0</v>
      </c>
      <c r="V238" s="1">
        <f>'F-1 Off-Site WaterC'' Baseline'!AG241</f>
        <v>0</v>
      </c>
    </row>
    <row r="239" spans="1:22" x14ac:dyDescent="0.3">
      <c r="A239" s="757">
        <f>'D-1 Off-Site Habitat Baseline'!AF243</f>
        <v>0</v>
      </c>
      <c r="M239" s="757">
        <f>'E-1 Off-Site Hedge Baseline'!AB242</f>
        <v>0</v>
      </c>
      <c r="V239" s="1">
        <f>'F-1 Off-Site WaterC'' Baseline'!AG242</f>
        <v>0</v>
      </c>
    </row>
    <row r="240" spans="1:22" x14ac:dyDescent="0.3">
      <c r="A240" s="757">
        <f>'D-1 Off-Site Habitat Baseline'!AF244</f>
        <v>0</v>
      </c>
      <c r="M240" s="757">
        <f>'E-1 Off-Site Hedge Baseline'!AB243</f>
        <v>0</v>
      </c>
      <c r="V240" s="1">
        <f>'F-1 Off-Site WaterC'' Baseline'!AG243</f>
        <v>0</v>
      </c>
    </row>
    <row r="241" spans="1:22" x14ac:dyDescent="0.3">
      <c r="A241" s="757">
        <f>'D-1 Off-Site Habitat Baseline'!AF245</f>
        <v>0</v>
      </c>
      <c r="M241" s="757">
        <f>'E-1 Off-Site Hedge Baseline'!AB244</f>
        <v>0</v>
      </c>
      <c r="V241" s="1">
        <f>'F-1 Off-Site WaterC'' Baseline'!AG244</f>
        <v>0</v>
      </c>
    </row>
    <row r="242" spans="1:22" x14ac:dyDescent="0.3">
      <c r="A242" s="757">
        <f>'D-1 Off-Site Habitat Baseline'!AF246</f>
        <v>0</v>
      </c>
      <c r="M242" s="757">
        <f>'E-1 Off-Site Hedge Baseline'!AB245</f>
        <v>0</v>
      </c>
      <c r="V242" s="1">
        <f>'F-1 Off-Site WaterC'' Baseline'!AG245</f>
        <v>0</v>
      </c>
    </row>
    <row r="243" spans="1:22" x14ac:dyDescent="0.3">
      <c r="A243" s="757">
        <f>'D-1 Off-Site Habitat Baseline'!AF247</f>
        <v>0</v>
      </c>
      <c r="M243" s="757">
        <f>'E-1 Off-Site Hedge Baseline'!AB246</f>
        <v>0</v>
      </c>
      <c r="V243" s="1">
        <f>'F-1 Off-Site WaterC'' Baseline'!AG246</f>
        <v>0</v>
      </c>
    </row>
    <row r="244" spans="1:22" x14ac:dyDescent="0.3">
      <c r="A244" s="757">
        <f>'D-1 Off-Site Habitat Baseline'!AF248</f>
        <v>0</v>
      </c>
      <c r="M244" s="757">
        <f>'E-1 Off-Site Hedge Baseline'!AB247</f>
        <v>0</v>
      </c>
      <c r="V244" s="1">
        <f>'F-1 Off-Site WaterC'' Baseline'!AG247</f>
        <v>0</v>
      </c>
    </row>
    <row r="245" spans="1:22" x14ac:dyDescent="0.3">
      <c r="A245" s="757">
        <f>'D-1 Off-Site Habitat Baseline'!AF249</f>
        <v>0</v>
      </c>
      <c r="M245" s="757">
        <f>'E-1 Off-Site Hedge Baseline'!AB248</f>
        <v>0</v>
      </c>
      <c r="V245" s="1">
        <f>'F-1 Off-Site WaterC'' Baseline'!AG248</f>
        <v>0</v>
      </c>
    </row>
    <row r="246" spans="1:22" x14ac:dyDescent="0.3">
      <c r="A246" s="757">
        <f>'D-1 Off-Site Habitat Baseline'!AF250</f>
        <v>0</v>
      </c>
      <c r="M246" s="757">
        <f>'E-1 Off-Site Hedge Baseline'!AB249</f>
        <v>0</v>
      </c>
      <c r="V246" s="1">
        <f>'F-1 Off-Site WaterC'' Baseline'!AG249</f>
        <v>0</v>
      </c>
    </row>
    <row r="247" spans="1:22" x14ac:dyDescent="0.3">
      <c r="A247" s="757">
        <f>'D-1 Off-Site Habitat Baseline'!AF251</f>
        <v>0</v>
      </c>
      <c r="M247" s="757">
        <f>'E-1 Off-Site Hedge Baseline'!AB250</f>
        <v>0</v>
      </c>
      <c r="V247" s="1">
        <f>'F-1 Off-Site WaterC'' Baseline'!AG250</f>
        <v>0</v>
      </c>
    </row>
    <row r="248" spans="1:22" x14ac:dyDescent="0.3">
      <c r="A248" s="757">
        <f>'D-1 Off-Site Habitat Baseline'!AF252</f>
        <v>0</v>
      </c>
      <c r="M248" s="757">
        <f>'E-1 Off-Site Hedge Baseline'!AB251</f>
        <v>0</v>
      </c>
      <c r="V248" s="1">
        <f>'F-1 Off-Site WaterC'' Baseline'!AG251</f>
        <v>0</v>
      </c>
    </row>
    <row r="249" spans="1:22" x14ac:dyDescent="0.3">
      <c r="A249" s="757">
        <f>'D-1 Off-Site Habitat Baseline'!AF253</f>
        <v>0</v>
      </c>
      <c r="M249" s="757">
        <f>'E-1 Off-Site Hedge Baseline'!AB252</f>
        <v>0</v>
      </c>
      <c r="V249" s="1">
        <f>'F-1 Off-Site WaterC'' Baseline'!AG252</f>
        <v>0</v>
      </c>
    </row>
    <row r="250" spans="1:22" x14ac:dyDescent="0.3">
      <c r="A250" s="757">
        <f>'D-1 Off-Site Habitat Baseline'!AF254</f>
        <v>0</v>
      </c>
      <c r="M250" s="757">
        <f>'E-1 Off-Site Hedge Baseline'!AB253</f>
        <v>0</v>
      </c>
      <c r="V250" s="1">
        <f>'F-1 Off-Site WaterC'' Baseline'!AG253</f>
        <v>0</v>
      </c>
    </row>
    <row r="251" spans="1:22" x14ac:dyDescent="0.3">
      <c r="A251" s="757">
        <f>'D-1 Off-Site Habitat Baseline'!AF255</f>
        <v>0</v>
      </c>
      <c r="M251" s="757">
        <f>'E-1 Off-Site Hedge Baseline'!AB254</f>
        <v>0</v>
      </c>
      <c r="V251" s="1">
        <f>'F-1 Off-Site WaterC'' Baseline'!AG254</f>
        <v>0</v>
      </c>
    </row>
    <row r="252" spans="1:22" x14ac:dyDescent="0.3">
      <c r="A252" s="757">
        <f>'D-1 Off-Site Habitat Baseline'!AF256</f>
        <v>0</v>
      </c>
      <c r="M252" s="757">
        <f>'E-1 Off-Site Hedge Baseline'!AB255</f>
        <v>0</v>
      </c>
      <c r="V252" s="1">
        <f>'F-1 Off-Site WaterC'' Baseline'!AG255</f>
        <v>0</v>
      </c>
    </row>
    <row r="253" spans="1:22" x14ac:dyDescent="0.3">
      <c r="A253" s="757">
        <f>'D-1 Off-Site Habitat Baseline'!AF257</f>
        <v>0</v>
      </c>
      <c r="M253" s="757">
        <f>'E-1 Off-Site Hedge Baseline'!AB256</f>
        <v>0</v>
      </c>
      <c r="V253" s="1">
        <f>'F-1 Off-Site WaterC'' Baseline'!AG256</f>
        <v>0</v>
      </c>
    </row>
    <row r="254" spans="1:22" x14ac:dyDescent="0.3">
      <c r="A254" s="757">
        <f>'D-1 Off-Site Habitat Baseline'!AF258</f>
        <v>0</v>
      </c>
      <c r="M254" s="757">
        <f>'E-1 Off-Site Hedge Baseline'!AB257</f>
        <v>0</v>
      </c>
      <c r="V254" s="1">
        <f>'F-1 Off-Site WaterC'' Baseline'!AG257</f>
        <v>0</v>
      </c>
    </row>
    <row r="255" spans="1:22" x14ac:dyDescent="0.3">
      <c r="A255" s="757">
        <f>'D-2 Off-Site Habitat Creation'!AF11</f>
        <v>0</v>
      </c>
      <c r="M255" s="757">
        <f>'E-2 Off-Site Hedge Creation'!AD12</f>
        <v>0</v>
      </c>
      <c r="V255" s="1">
        <f>'F-2 Off-Site WaterC'' Creation'!AG12</f>
        <v>0</v>
      </c>
    </row>
    <row r="256" spans="1:22" x14ac:dyDescent="0.3">
      <c r="A256" s="757">
        <f>'D-2 Off-Site Habitat Creation'!AF12</f>
        <v>0</v>
      </c>
      <c r="M256" s="757">
        <f>'E-2 Off-Site Hedge Creation'!AD13</f>
        <v>0</v>
      </c>
      <c r="V256" s="1">
        <f>'F-2 Off-Site WaterC'' Creation'!AG13</f>
        <v>0</v>
      </c>
    </row>
    <row r="257" spans="1:22" x14ac:dyDescent="0.3">
      <c r="A257" s="757">
        <f>'D-2 Off-Site Habitat Creation'!AF13</f>
        <v>0</v>
      </c>
      <c r="M257" s="757">
        <f>'E-2 Off-Site Hedge Creation'!AD14</f>
        <v>0</v>
      </c>
      <c r="V257" s="1">
        <f>'F-2 Off-Site WaterC'' Creation'!AG14</f>
        <v>0</v>
      </c>
    </row>
    <row r="258" spans="1:22" x14ac:dyDescent="0.3">
      <c r="A258" s="757">
        <f>'D-2 Off-Site Habitat Creation'!AF14</f>
        <v>0</v>
      </c>
      <c r="M258" s="757">
        <f>'E-2 Off-Site Hedge Creation'!AD15</f>
        <v>0</v>
      </c>
      <c r="V258" s="1">
        <f>'F-2 Off-Site WaterC'' Creation'!AG15</f>
        <v>0</v>
      </c>
    </row>
    <row r="259" spans="1:22" x14ac:dyDescent="0.3">
      <c r="A259" s="757">
        <f>'D-2 Off-Site Habitat Creation'!AF15</f>
        <v>0</v>
      </c>
      <c r="M259" s="757">
        <f>'E-2 Off-Site Hedge Creation'!AD16</f>
        <v>0</v>
      </c>
      <c r="V259" s="1">
        <f>'F-2 Off-Site WaterC'' Creation'!AG16</f>
        <v>0</v>
      </c>
    </row>
    <row r="260" spans="1:22" x14ac:dyDescent="0.3">
      <c r="A260" s="757">
        <f>'D-2 Off-Site Habitat Creation'!AF16</f>
        <v>0</v>
      </c>
      <c r="M260" s="757">
        <f>'E-2 Off-Site Hedge Creation'!AD17</f>
        <v>0</v>
      </c>
      <c r="V260" s="1">
        <f>'F-2 Off-Site WaterC'' Creation'!AG17</f>
        <v>0</v>
      </c>
    </row>
    <row r="261" spans="1:22" x14ac:dyDescent="0.3">
      <c r="A261" s="757">
        <f>'D-2 Off-Site Habitat Creation'!AF17</f>
        <v>0</v>
      </c>
      <c r="M261" s="757">
        <f>'E-2 Off-Site Hedge Creation'!AD18</f>
        <v>0</v>
      </c>
      <c r="V261" s="1">
        <f>'F-2 Off-Site WaterC'' Creation'!AG18</f>
        <v>0</v>
      </c>
    </row>
    <row r="262" spans="1:22" x14ac:dyDescent="0.3">
      <c r="A262" s="757">
        <f>'D-2 Off-Site Habitat Creation'!AF18</f>
        <v>0</v>
      </c>
      <c r="M262" s="757">
        <f>'E-2 Off-Site Hedge Creation'!AD19</f>
        <v>0</v>
      </c>
      <c r="V262" s="1">
        <f>'F-2 Off-Site WaterC'' Creation'!AG19</f>
        <v>0</v>
      </c>
    </row>
    <row r="263" spans="1:22" x14ac:dyDescent="0.3">
      <c r="A263" s="757">
        <f>'D-2 Off-Site Habitat Creation'!AF19</f>
        <v>0</v>
      </c>
      <c r="M263" s="757">
        <f>'E-2 Off-Site Hedge Creation'!AD20</f>
        <v>0</v>
      </c>
      <c r="V263" s="1">
        <f>'F-2 Off-Site WaterC'' Creation'!AG20</f>
        <v>0</v>
      </c>
    </row>
    <row r="264" spans="1:22" x14ac:dyDescent="0.3">
      <c r="A264" s="757">
        <f>'D-2 Off-Site Habitat Creation'!AF20</f>
        <v>0</v>
      </c>
      <c r="M264" s="757">
        <f>'E-2 Off-Site Hedge Creation'!AD21</f>
        <v>0</v>
      </c>
      <c r="V264" s="1">
        <f>'F-2 Off-Site WaterC'' Creation'!AG21</f>
        <v>0</v>
      </c>
    </row>
    <row r="265" spans="1:22" x14ac:dyDescent="0.3">
      <c r="A265" s="757">
        <f>'D-2 Off-Site Habitat Creation'!AF21</f>
        <v>0</v>
      </c>
      <c r="M265" s="757">
        <f>'E-2 Off-Site Hedge Creation'!AD22</f>
        <v>0</v>
      </c>
      <c r="V265" s="1">
        <f>'F-2 Off-Site WaterC'' Creation'!AG22</f>
        <v>0</v>
      </c>
    </row>
    <row r="266" spans="1:22" x14ac:dyDescent="0.3">
      <c r="A266" s="757">
        <f>'D-2 Off-Site Habitat Creation'!AF22</f>
        <v>0</v>
      </c>
      <c r="M266" s="757">
        <f>'E-2 Off-Site Hedge Creation'!AD23</f>
        <v>0</v>
      </c>
      <c r="V266" s="1">
        <f>'F-2 Off-Site WaterC'' Creation'!AG23</f>
        <v>0</v>
      </c>
    </row>
    <row r="267" spans="1:22" x14ac:dyDescent="0.3">
      <c r="A267" s="757">
        <f>'D-2 Off-Site Habitat Creation'!AF23</f>
        <v>0</v>
      </c>
      <c r="M267" s="757">
        <f>'E-2 Off-Site Hedge Creation'!AD24</f>
        <v>0</v>
      </c>
      <c r="V267" s="1">
        <f>'F-2 Off-Site WaterC'' Creation'!AG24</f>
        <v>0</v>
      </c>
    </row>
    <row r="268" spans="1:22" x14ac:dyDescent="0.3">
      <c r="A268" s="757">
        <f>'D-2 Off-Site Habitat Creation'!AF24</f>
        <v>0</v>
      </c>
      <c r="M268" s="757">
        <f>'E-2 Off-Site Hedge Creation'!AD25</f>
        <v>0</v>
      </c>
      <c r="V268" s="1">
        <f>'F-2 Off-Site WaterC'' Creation'!AG25</f>
        <v>0</v>
      </c>
    </row>
    <row r="269" spans="1:22" x14ac:dyDescent="0.3">
      <c r="A269" s="757">
        <f>'D-2 Off-Site Habitat Creation'!AF25</f>
        <v>0</v>
      </c>
      <c r="M269" s="757">
        <f>'E-2 Off-Site Hedge Creation'!AD26</f>
        <v>0</v>
      </c>
      <c r="V269" s="1">
        <f>'F-2 Off-Site WaterC'' Creation'!AG26</f>
        <v>0</v>
      </c>
    </row>
    <row r="270" spans="1:22" x14ac:dyDescent="0.3">
      <c r="A270" s="757">
        <f>'D-2 Off-Site Habitat Creation'!AF26</f>
        <v>0</v>
      </c>
      <c r="M270" s="757">
        <f>'E-2 Off-Site Hedge Creation'!AD27</f>
        <v>0</v>
      </c>
      <c r="V270" s="1">
        <f>'F-2 Off-Site WaterC'' Creation'!AG27</f>
        <v>0</v>
      </c>
    </row>
    <row r="271" spans="1:22" x14ac:dyDescent="0.3">
      <c r="A271" s="757">
        <f>'D-2 Off-Site Habitat Creation'!AF27</f>
        <v>0</v>
      </c>
      <c r="M271" s="757">
        <f>'E-2 Off-Site Hedge Creation'!AD28</f>
        <v>0</v>
      </c>
      <c r="V271" s="1">
        <f>'F-2 Off-Site WaterC'' Creation'!AG28</f>
        <v>0</v>
      </c>
    </row>
    <row r="272" spans="1:22" x14ac:dyDescent="0.3">
      <c r="A272" s="757">
        <f>'D-2 Off-Site Habitat Creation'!AF28</f>
        <v>0</v>
      </c>
      <c r="M272" s="757">
        <f>'E-2 Off-Site Hedge Creation'!AD29</f>
        <v>0</v>
      </c>
      <c r="V272" s="1">
        <f>'F-2 Off-Site WaterC'' Creation'!AG29</f>
        <v>0</v>
      </c>
    </row>
    <row r="273" spans="1:22" x14ac:dyDescent="0.3">
      <c r="A273" s="757">
        <f>'D-2 Off-Site Habitat Creation'!AF29</f>
        <v>0</v>
      </c>
      <c r="M273" s="757">
        <f>'E-2 Off-Site Hedge Creation'!AD30</f>
        <v>0</v>
      </c>
      <c r="V273" s="1">
        <f>'F-2 Off-Site WaterC'' Creation'!AG30</f>
        <v>0</v>
      </c>
    </row>
    <row r="274" spans="1:22" x14ac:dyDescent="0.3">
      <c r="A274" s="757">
        <f>'D-2 Off-Site Habitat Creation'!AF30</f>
        <v>0</v>
      </c>
      <c r="M274" s="757">
        <f>'E-2 Off-Site Hedge Creation'!AD31</f>
        <v>0</v>
      </c>
      <c r="V274" s="1">
        <f>'F-2 Off-Site WaterC'' Creation'!AG31</f>
        <v>0</v>
      </c>
    </row>
    <row r="275" spans="1:22" x14ac:dyDescent="0.3">
      <c r="A275" s="757">
        <f>'D-2 Off-Site Habitat Creation'!AF31</f>
        <v>0</v>
      </c>
      <c r="M275" s="757">
        <f>'E-2 Off-Site Hedge Creation'!AD32</f>
        <v>0</v>
      </c>
      <c r="V275" s="1">
        <f>'F-2 Off-Site WaterC'' Creation'!AG32</f>
        <v>0</v>
      </c>
    </row>
    <row r="276" spans="1:22" x14ac:dyDescent="0.3">
      <c r="A276" s="757">
        <f>'D-2 Off-Site Habitat Creation'!AF32</f>
        <v>0</v>
      </c>
      <c r="M276" s="757">
        <f>'E-2 Off-Site Hedge Creation'!AD33</f>
        <v>0</v>
      </c>
      <c r="V276" s="1">
        <f>'F-2 Off-Site WaterC'' Creation'!AG33</f>
        <v>0</v>
      </c>
    </row>
    <row r="277" spans="1:22" x14ac:dyDescent="0.3">
      <c r="A277" s="757">
        <f>'D-2 Off-Site Habitat Creation'!AF33</f>
        <v>0</v>
      </c>
      <c r="M277" s="757">
        <f>'E-2 Off-Site Hedge Creation'!AD34</f>
        <v>0</v>
      </c>
      <c r="V277" s="1">
        <f>'F-2 Off-Site WaterC'' Creation'!AG34</f>
        <v>0</v>
      </c>
    </row>
    <row r="278" spans="1:22" x14ac:dyDescent="0.3">
      <c r="A278" s="757">
        <f>'D-2 Off-Site Habitat Creation'!AF34</f>
        <v>0</v>
      </c>
      <c r="M278" s="757">
        <f>'E-2 Off-Site Hedge Creation'!AD35</f>
        <v>0</v>
      </c>
      <c r="V278" s="1">
        <f>'F-2 Off-Site WaterC'' Creation'!AG35</f>
        <v>0</v>
      </c>
    </row>
    <row r="279" spans="1:22" x14ac:dyDescent="0.3">
      <c r="A279" s="757">
        <f>'D-2 Off-Site Habitat Creation'!AF35</f>
        <v>0</v>
      </c>
      <c r="M279" s="757">
        <f>'E-2 Off-Site Hedge Creation'!AD36</f>
        <v>0</v>
      </c>
      <c r="V279" s="1">
        <f>'F-2 Off-Site WaterC'' Creation'!AG36</f>
        <v>0</v>
      </c>
    </row>
    <row r="280" spans="1:22" x14ac:dyDescent="0.3">
      <c r="A280" s="757">
        <f>'D-2 Off-Site Habitat Creation'!AF36</f>
        <v>0</v>
      </c>
      <c r="M280" s="757">
        <f>'E-2 Off-Site Hedge Creation'!AD37</f>
        <v>0</v>
      </c>
      <c r="V280" s="1">
        <f>'F-2 Off-Site WaterC'' Creation'!AG37</f>
        <v>0</v>
      </c>
    </row>
    <row r="281" spans="1:22" x14ac:dyDescent="0.3">
      <c r="A281" s="757">
        <f>'D-2 Off-Site Habitat Creation'!AF37</f>
        <v>0</v>
      </c>
      <c r="M281" s="757">
        <f>'E-2 Off-Site Hedge Creation'!AD38</f>
        <v>0</v>
      </c>
      <c r="V281" s="1">
        <f>'F-2 Off-Site WaterC'' Creation'!AG38</f>
        <v>0</v>
      </c>
    </row>
    <row r="282" spans="1:22" x14ac:dyDescent="0.3">
      <c r="A282" s="757">
        <f>'D-2 Off-Site Habitat Creation'!AF38</f>
        <v>0</v>
      </c>
      <c r="M282" s="757">
        <f>'E-2 Off-Site Hedge Creation'!AD39</f>
        <v>0</v>
      </c>
      <c r="V282" s="1">
        <f>'F-2 Off-Site WaterC'' Creation'!AG39</f>
        <v>0</v>
      </c>
    </row>
    <row r="283" spans="1:22" x14ac:dyDescent="0.3">
      <c r="A283" s="757">
        <f>'D-2 Off-Site Habitat Creation'!AF39</f>
        <v>0</v>
      </c>
      <c r="M283" s="757">
        <f>'E-2 Off-Site Hedge Creation'!AD40</f>
        <v>0</v>
      </c>
      <c r="V283" s="1">
        <f>'F-2 Off-Site WaterC'' Creation'!AG40</f>
        <v>0</v>
      </c>
    </row>
    <row r="284" spans="1:22" x14ac:dyDescent="0.3">
      <c r="A284" s="757">
        <f>'D-2 Off-Site Habitat Creation'!AF40</f>
        <v>0</v>
      </c>
      <c r="M284" s="757">
        <f>'E-2 Off-Site Hedge Creation'!AD41</f>
        <v>0</v>
      </c>
      <c r="V284" s="1">
        <f>'F-2 Off-Site WaterC'' Creation'!AG41</f>
        <v>0</v>
      </c>
    </row>
    <row r="285" spans="1:22" x14ac:dyDescent="0.3">
      <c r="A285" s="757">
        <f>'D-2 Off-Site Habitat Creation'!AF41</f>
        <v>0</v>
      </c>
      <c r="M285" s="757">
        <f>'E-2 Off-Site Hedge Creation'!AD42</f>
        <v>0</v>
      </c>
      <c r="V285" s="1">
        <f>'F-2 Off-Site WaterC'' Creation'!AG42</f>
        <v>0</v>
      </c>
    </row>
    <row r="286" spans="1:22" x14ac:dyDescent="0.3">
      <c r="A286" s="757">
        <f>'D-2 Off-Site Habitat Creation'!AF42</f>
        <v>0</v>
      </c>
      <c r="M286" s="757">
        <f>'E-2 Off-Site Hedge Creation'!AD43</f>
        <v>0</v>
      </c>
      <c r="V286" s="1">
        <f>'F-2 Off-Site WaterC'' Creation'!AG43</f>
        <v>0</v>
      </c>
    </row>
    <row r="287" spans="1:22" x14ac:dyDescent="0.3">
      <c r="A287" s="757">
        <f>'D-2 Off-Site Habitat Creation'!AF43</f>
        <v>0</v>
      </c>
      <c r="M287" s="757">
        <f>'E-2 Off-Site Hedge Creation'!AD44</f>
        <v>0</v>
      </c>
      <c r="V287" s="1">
        <f>'F-2 Off-Site WaterC'' Creation'!AG44</f>
        <v>0</v>
      </c>
    </row>
    <row r="288" spans="1:22" x14ac:dyDescent="0.3">
      <c r="A288" s="757">
        <f>'D-2 Off-Site Habitat Creation'!AF44</f>
        <v>0</v>
      </c>
      <c r="M288" s="757">
        <f>'E-2 Off-Site Hedge Creation'!AD45</f>
        <v>0</v>
      </c>
      <c r="V288" s="1">
        <f>'F-2 Off-Site WaterC'' Creation'!AG45</f>
        <v>0</v>
      </c>
    </row>
    <row r="289" spans="1:22" x14ac:dyDescent="0.3">
      <c r="A289" s="757">
        <f>'D-2 Off-Site Habitat Creation'!AF45</f>
        <v>0</v>
      </c>
      <c r="M289" s="757">
        <f>'E-2 Off-Site Hedge Creation'!AD46</f>
        <v>0</v>
      </c>
      <c r="V289" s="1">
        <f>'F-2 Off-Site WaterC'' Creation'!AG46</f>
        <v>0</v>
      </c>
    </row>
    <row r="290" spans="1:22" x14ac:dyDescent="0.3">
      <c r="A290" s="757">
        <f>'D-2 Off-Site Habitat Creation'!AF46</f>
        <v>0</v>
      </c>
      <c r="M290" s="757">
        <f>'E-2 Off-Site Hedge Creation'!AD47</f>
        <v>0</v>
      </c>
      <c r="V290" s="1">
        <f>'F-2 Off-Site WaterC'' Creation'!AG47</f>
        <v>0</v>
      </c>
    </row>
    <row r="291" spans="1:22" x14ac:dyDescent="0.3">
      <c r="A291" s="757">
        <f>'D-2 Off-Site Habitat Creation'!AF47</f>
        <v>0</v>
      </c>
      <c r="M291" s="757">
        <f>'E-2 Off-Site Hedge Creation'!AD48</f>
        <v>0</v>
      </c>
      <c r="V291" s="1">
        <f>'F-2 Off-Site WaterC'' Creation'!AG48</f>
        <v>0</v>
      </c>
    </row>
    <row r="292" spans="1:22" x14ac:dyDescent="0.3">
      <c r="A292" s="757">
        <f>'D-2 Off-Site Habitat Creation'!AF48</f>
        <v>0</v>
      </c>
      <c r="M292" s="757">
        <f>'E-2 Off-Site Hedge Creation'!AD49</f>
        <v>0</v>
      </c>
      <c r="V292" s="1">
        <f>'F-2 Off-Site WaterC'' Creation'!AG49</f>
        <v>0</v>
      </c>
    </row>
    <row r="293" spans="1:22" x14ac:dyDescent="0.3">
      <c r="A293" s="757">
        <f>'D-2 Off-Site Habitat Creation'!AF49</f>
        <v>0</v>
      </c>
      <c r="M293" s="757">
        <f>'E-2 Off-Site Hedge Creation'!AD50</f>
        <v>0</v>
      </c>
      <c r="V293" s="1">
        <f>'F-2 Off-Site WaterC'' Creation'!AG50</f>
        <v>0</v>
      </c>
    </row>
    <row r="294" spans="1:22" x14ac:dyDescent="0.3">
      <c r="A294" s="757">
        <f>'D-2 Off-Site Habitat Creation'!AF50</f>
        <v>0</v>
      </c>
      <c r="M294" s="757">
        <f>'E-2 Off-Site Hedge Creation'!AD51</f>
        <v>0</v>
      </c>
      <c r="V294" s="1">
        <f>'F-2 Off-Site WaterC'' Creation'!AG51</f>
        <v>0</v>
      </c>
    </row>
    <row r="295" spans="1:22" x14ac:dyDescent="0.3">
      <c r="A295" s="757">
        <f>'D-2 Off-Site Habitat Creation'!AF51</f>
        <v>0</v>
      </c>
      <c r="M295" s="757">
        <f>'E-2 Off-Site Hedge Creation'!AD52</f>
        <v>0</v>
      </c>
      <c r="V295" s="1">
        <f>'F-2 Off-Site WaterC'' Creation'!AG52</f>
        <v>0</v>
      </c>
    </row>
    <row r="296" spans="1:22" x14ac:dyDescent="0.3">
      <c r="A296" s="757">
        <f>'D-2 Off-Site Habitat Creation'!AF52</f>
        <v>0</v>
      </c>
      <c r="M296" s="757">
        <f>'E-2 Off-Site Hedge Creation'!AD53</f>
        <v>0</v>
      </c>
      <c r="V296" s="1">
        <f>'F-2 Off-Site WaterC'' Creation'!AG53</f>
        <v>0</v>
      </c>
    </row>
    <row r="297" spans="1:22" x14ac:dyDescent="0.3">
      <c r="A297" s="757">
        <f>'D-2 Off-Site Habitat Creation'!AF53</f>
        <v>0</v>
      </c>
      <c r="M297" s="757">
        <f>'E-2 Off-Site Hedge Creation'!AD54</f>
        <v>0</v>
      </c>
      <c r="V297" s="1">
        <f>'F-2 Off-Site WaterC'' Creation'!AG54</f>
        <v>0</v>
      </c>
    </row>
    <row r="298" spans="1:22" x14ac:dyDescent="0.3">
      <c r="A298" s="757">
        <f>'D-2 Off-Site Habitat Creation'!AF54</f>
        <v>0</v>
      </c>
      <c r="M298" s="757">
        <f>'E-2 Off-Site Hedge Creation'!AD55</f>
        <v>0</v>
      </c>
      <c r="V298" s="1">
        <f>'F-2 Off-Site WaterC'' Creation'!AG55</f>
        <v>0</v>
      </c>
    </row>
    <row r="299" spans="1:22" x14ac:dyDescent="0.3">
      <c r="A299" s="757">
        <f>'D-2 Off-Site Habitat Creation'!AF55</f>
        <v>0</v>
      </c>
      <c r="M299" s="757">
        <f>'E-2 Off-Site Hedge Creation'!AD56</f>
        <v>0</v>
      </c>
      <c r="V299" s="1">
        <f>'F-2 Off-Site WaterC'' Creation'!AG56</f>
        <v>0</v>
      </c>
    </row>
    <row r="300" spans="1:22" x14ac:dyDescent="0.3">
      <c r="A300" s="757">
        <f>'D-2 Off-Site Habitat Creation'!AF56</f>
        <v>0</v>
      </c>
      <c r="M300" s="757">
        <f>'E-2 Off-Site Hedge Creation'!AD57</f>
        <v>0</v>
      </c>
      <c r="V300" s="1">
        <f>'F-2 Off-Site WaterC'' Creation'!AG57</f>
        <v>0</v>
      </c>
    </row>
    <row r="301" spans="1:22" x14ac:dyDescent="0.3">
      <c r="A301" s="757">
        <f>'D-2 Off-Site Habitat Creation'!AF57</f>
        <v>0</v>
      </c>
      <c r="M301" s="757">
        <f>'E-2 Off-Site Hedge Creation'!AD58</f>
        <v>0</v>
      </c>
      <c r="V301" s="1">
        <f>'F-2 Off-Site WaterC'' Creation'!AG58</f>
        <v>0</v>
      </c>
    </row>
    <row r="302" spans="1:22" x14ac:dyDescent="0.3">
      <c r="A302" s="757">
        <f>'D-2 Off-Site Habitat Creation'!AF58</f>
        <v>0</v>
      </c>
      <c r="M302" s="757">
        <f>'E-2 Off-Site Hedge Creation'!AD59</f>
        <v>0</v>
      </c>
      <c r="V302" s="1">
        <f>'F-2 Off-Site WaterC'' Creation'!AG59</f>
        <v>0</v>
      </c>
    </row>
    <row r="303" spans="1:22" x14ac:dyDescent="0.3">
      <c r="A303" s="757">
        <f>'D-2 Off-Site Habitat Creation'!AF59</f>
        <v>0</v>
      </c>
      <c r="M303" s="757">
        <f>'E-2 Off-Site Hedge Creation'!AD60</f>
        <v>0</v>
      </c>
      <c r="V303" s="1">
        <f>'F-2 Off-Site WaterC'' Creation'!AG60</f>
        <v>0</v>
      </c>
    </row>
    <row r="304" spans="1:22" x14ac:dyDescent="0.3">
      <c r="A304" s="757">
        <f>'D-2 Off-Site Habitat Creation'!AF60</f>
        <v>0</v>
      </c>
      <c r="M304" s="757">
        <f>'E-2 Off-Site Hedge Creation'!AD61</f>
        <v>0</v>
      </c>
      <c r="V304" s="1">
        <f>'F-2 Off-Site WaterC'' Creation'!AG61</f>
        <v>0</v>
      </c>
    </row>
    <row r="305" spans="1:22" x14ac:dyDescent="0.3">
      <c r="A305" s="757">
        <f>'D-2 Off-Site Habitat Creation'!AF61</f>
        <v>0</v>
      </c>
      <c r="M305" s="757">
        <f>'E-2 Off-Site Hedge Creation'!AD62</f>
        <v>0</v>
      </c>
      <c r="V305" s="1">
        <f>'F-2 Off-Site WaterC'' Creation'!AG62</f>
        <v>0</v>
      </c>
    </row>
    <row r="306" spans="1:22" x14ac:dyDescent="0.3">
      <c r="A306" s="757">
        <f>'D-2 Off-Site Habitat Creation'!AF62</f>
        <v>0</v>
      </c>
      <c r="M306" s="757">
        <f>'E-2 Off-Site Hedge Creation'!AD63</f>
        <v>0</v>
      </c>
      <c r="V306" s="1">
        <f>'F-2 Off-Site WaterC'' Creation'!AG63</f>
        <v>0</v>
      </c>
    </row>
    <row r="307" spans="1:22" x14ac:dyDescent="0.3">
      <c r="A307" s="757">
        <f>'D-2 Off-Site Habitat Creation'!AF63</f>
        <v>0</v>
      </c>
      <c r="M307" s="757">
        <f>'E-2 Off-Site Hedge Creation'!AD64</f>
        <v>0</v>
      </c>
      <c r="V307" s="1">
        <f>'F-2 Off-Site WaterC'' Creation'!AG64</f>
        <v>0</v>
      </c>
    </row>
    <row r="308" spans="1:22" x14ac:dyDescent="0.3">
      <c r="A308" s="757">
        <f>'D-2 Off-Site Habitat Creation'!AF64</f>
        <v>0</v>
      </c>
      <c r="M308" s="757">
        <f>'E-2 Off-Site Hedge Creation'!AD65</f>
        <v>0</v>
      </c>
      <c r="V308" s="1">
        <f>'F-2 Off-Site WaterC'' Creation'!AG65</f>
        <v>0</v>
      </c>
    </row>
    <row r="309" spans="1:22" x14ac:dyDescent="0.3">
      <c r="A309" s="757">
        <f>'D-2 Off-Site Habitat Creation'!AF65</f>
        <v>0</v>
      </c>
      <c r="M309" s="757">
        <f>'E-2 Off-Site Hedge Creation'!AD66</f>
        <v>0</v>
      </c>
      <c r="V309" s="1">
        <f>'F-2 Off-Site WaterC'' Creation'!AG66</f>
        <v>0</v>
      </c>
    </row>
    <row r="310" spans="1:22" x14ac:dyDescent="0.3">
      <c r="A310" s="757">
        <f>'D-2 Off-Site Habitat Creation'!AF66</f>
        <v>0</v>
      </c>
      <c r="M310" s="757">
        <f>'E-2 Off-Site Hedge Creation'!AD67</f>
        <v>0</v>
      </c>
      <c r="V310" s="1">
        <f>'F-2 Off-Site WaterC'' Creation'!AG67</f>
        <v>0</v>
      </c>
    </row>
    <row r="311" spans="1:22" x14ac:dyDescent="0.3">
      <c r="A311" s="757">
        <f>'D-2 Off-Site Habitat Creation'!AF67</f>
        <v>0</v>
      </c>
      <c r="M311" s="757">
        <f>'E-2 Off-Site Hedge Creation'!AD68</f>
        <v>0</v>
      </c>
      <c r="V311" s="1">
        <f>'F-2 Off-Site WaterC'' Creation'!AG68</f>
        <v>0</v>
      </c>
    </row>
    <row r="312" spans="1:22" x14ac:dyDescent="0.3">
      <c r="A312" s="757">
        <f>'D-2 Off-Site Habitat Creation'!AF68</f>
        <v>0</v>
      </c>
      <c r="M312" s="757">
        <f>'E-2 Off-Site Hedge Creation'!AD69</f>
        <v>0</v>
      </c>
      <c r="V312" s="1">
        <f>'F-2 Off-Site WaterC'' Creation'!AG69</f>
        <v>0</v>
      </c>
    </row>
    <row r="313" spans="1:22" x14ac:dyDescent="0.3">
      <c r="A313" s="757">
        <f>'D-2 Off-Site Habitat Creation'!AF69</f>
        <v>0</v>
      </c>
      <c r="M313" s="757">
        <f>'E-2 Off-Site Hedge Creation'!AD70</f>
        <v>0</v>
      </c>
      <c r="V313" s="1">
        <f>'F-2 Off-Site WaterC'' Creation'!AG70</f>
        <v>0</v>
      </c>
    </row>
    <row r="314" spans="1:22" x14ac:dyDescent="0.3">
      <c r="A314" s="757">
        <f>'D-2 Off-Site Habitat Creation'!AF70</f>
        <v>0</v>
      </c>
      <c r="M314" s="757">
        <f>'E-2 Off-Site Hedge Creation'!AD71</f>
        <v>0</v>
      </c>
      <c r="V314" s="1">
        <f>'F-2 Off-Site WaterC'' Creation'!AG71</f>
        <v>0</v>
      </c>
    </row>
    <row r="315" spans="1:22" x14ac:dyDescent="0.3">
      <c r="A315" s="757">
        <f>'D-2 Off-Site Habitat Creation'!AF71</f>
        <v>0</v>
      </c>
      <c r="M315" s="757">
        <f>'E-2 Off-Site Hedge Creation'!AD72</f>
        <v>0</v>
      </c>
      <c r="V315" s="1">
        <f>'F-2 Off-Site WaterC'' Creation'!AG72</f>
        <v>0</v>
      </c>
    </row>
    <row r="316" spans="1:22" x14ac:dyDescent="0.3">
      <c r="A316" s="757">
        <f>'D-2 Off-Site Habitat Creation'!AF72</f>
        <v>0</v>
      </c>
      <c r="M316" s="757">
        <f>'E-2 Off-Site Hedge Creation'!AD73</f>
        <v>0</v>
      </c>
      <c r="V316" s="1">
        <f>'F-2 Off-Site WaterC'' Creation'!AG73</f>
        <v>0</v>
      </c>
    </row>
    <row r="317" spans="1:22" x14ac:dyDescent="0.3">
      <c r="A317" s="757">
        <f>'D-2 Off-Site Habitat Creation'!AF73</f>
        <v>0</v>
      </c>
      <c r="M317" s="757">
        <f>'E-2 Off-Site Hedge Creation'!AD74</f>
        <v>0</v>
      </c>
      <c r="V317" s="1">
        <f>'F-2 Off-Site WaterC'' Creation'!AG74</f>
        <v>0</v>
      </c>
    </row>
    <row r="318" spans="1:22" x14ac:dyDescent="0.3">
      <c r="A318" s="757">
        <f>'D-2 Off-Site Habitat Creation'!AF74</f>
        <v>0</v>
      </c>
      <c r="M318" s="757">
        <f>'E-2 Off-Site Hedge Creation'!AD75</f>
        <v>0</v>
      </c>
      <c r="V318" s="1">
        <f>'F-2 Off-Site WaterC'' Creation'!AG75</f>
        <v>0</v>
      </c>
    </row>
    <row r="319" spans="1:22" x14ac:dyDescent="0.3">
      <c r="A319" s="757">
        <f>'D-2 Off-Site Habitat Creation'!AF75</f>
        <v>0</v>
      </c>
      <c r="M319" s="757">
        <f>'E-2 Off-Site Hedge Creation'!AD76</f>
        <v>0</v>
      </c>
      <c r="V319" s="1">
        <f>'F-2 Off-Site WaterC'' Creation'!AG76</f>
        <v>0</v>
      </c>
    </row>
    <row r="320" spans="1:22" x14ac:dyDescent="0.3">
      <c r="A320" s="757">
        <f>'D-2 Off-Site Habitat Creation'!AF76</f>
        <v>0</v>
      </c>
      <c r="M320" s="757">
        <f>'E-2 Off-Site Hedge Creation'!AD77</f>
        <v>0</v>
      </c>
      <c r="V320" s="1">
        <f>'F-2 Off-Site WaterC'' Creation'!AG77</f>
        <v>0</v>
      </c>
    </row>
    <row r="321" spans="1:22" x14ac:dyDescent="0.3">
      <c r="A321" s="757">
        <f>'D-2 Off-Site Habitat Creation'!AF77</f>
        <v>0</v>
      </c>
      <c r="M321" s="757">
        <f>'E-2 Off-Site Hedge Creation'!AD78</f>
        <v>0</v>
      </c>
      <c r="V321" s="1">
        <f>'F-2 Off-Site WaterC'' Creation'!AG78</f>
        <v>0</v>
      </c>
    </row>
    <row r="322" spans="1:22" x14ac:dyDescent="0.3">
      <c r="A322" s="757">
        <f>'D-2 Off-Site Habitat Creation'!AF78</f>
        <v>0</v>
      </c>
      <c r="M322" s="757">
        <f>'E-2 Off-Site Hedge Creation'!AD79</f>
        <v>0</v>
      </c>
      <c r="V322" s="1">
        <f>'F-2 Off-Site WaterC'' Creation'!AG79</f>
        <v>0</v>
      </c>
    </row>
    <row r="323" spans="1:22" x14ac:dyDescent="0.3">
      <c r="A323" s="757">
        <f>'D-2 Off-Site Habitat Creation'!AF79</f>
        <v>0</v>
      </c>
      <c r="M323" s="757">
        <f>'E-2 Off-Site Hedge Creation'!AD80</f>
        <v>0</v>
      </c>
      <c r="V323" s="1">
        <f>'F-2 Off-Site WaterC'' Creation'!AG80</f>
        <v>0</v>
      </c>
    </row>
    <row r="324" spans="1:22" x14ac:dyDescent="0.3">
      <c r="A324" s="757">
        <f>'D-2 Off-Site Habitat Creation'!AF80</f>
        <v>0</v>
      </c>
      <c r="M324" s="757">
        <f>'E-2 Off-Site Hedge Creation'!AD81</f>
        <v>0</v>
      </c>
      <c r="V324" s="1">
        <f>'F-2 Off-Site WaterC'' Creation'!AG81</f>
        <v>0</v>
      </c>
    </row>
    <row r="325" spans="1:22" x14ac:dyDescent="0.3">
      <c r="A325" s="757">
        <f>'D-2 Off-Site Habitat Creation'!AF81</f>
        <v>0</v>
      </c>
      <c r="M325" s="757">
        <f>'E-2 Off-Site Hedge Creation'!AD82</f>
        <v>0</v>
      </c>
      <c r="V325" s="1">
        <f>'F-2 Off-Site WaterC'' Creation'!AG82</f>
        <v>0</v>
      </c>
    </row>
    <row r="326" spans="1:22" x14ac:dyDescent="0.3">
      <c r="A326" s="757">
        <f>'D-2 Off-Site Habitat Creation'!AF82</f>
        <v>0</v>
      </c>
      <c r="M326" s="757">
        <f>'E-2 Off-Site Hedge Creation'!AD83</f>
        <v>0</v>
      </c>
      <c r="V326" s="1">
        <f>'F-2 Off-Site WaterC'' Creation'!AG83</f>
        <v>0</v>
      </c>
    </row>
    <row r="327" spans="1:22" x14ac:dyDescent="0.3">
      <c r="A327" s="757">
        <f>'D-2 Off-Site Habitat Creation'!AF83</f>
        <v>0</v>
      </c>
      <c r="M327" s="757">
        <f>'E-2 Off-Site Hedge Creation'!AD84</f>
        <v>0</v>
      </c>
      <c r="V327" s="1">
        <f>'F-2 Off-Site WaterC'' Creation'!AG84</f>
        <v>0</v>
      </c>
    </row>
    <row r="328" spans="1:22" x14ac:dyDescent="0.3">
      <c r="A328" s="757">
        <f>'D-2 Off-Site Habitat Creation'!AF84</f>
        <v>0</v>
      </c>
      <c r="M328" s="757">
        <f>'E-2 Off-Site Hedge Creation'!AD85</f>
        <v>0</v>
      </c>
      <c r="V328" s="1">
        <f>'F-2 Off-Site WaterC'' Creation'!AG85</f>
        <v>0</v>
      </c>
    </row>
    <row r="329" spans="1:22" x14ac:dyDescent="0.3">
      <c r="A329" s="757">
        <f>'D-2 Off-Site Habitat Creation'!AF85</f>
        <v>0</v>
      </c>
      <c r="M329" s="757">
        <f>'E-2 Off-Site Hedge Creation'!AD86</f>
        <v>0</v>
      </c>
      <c r="V329" s="1">
        <f>'F-2 Off-Site WaterC'' Creation'!AG86</f>
        <v>0</v>
      </c>
    </row>
    <row r="330" spans="1:22" x14ac:dyDescent="0.3">
      <c r="A330" s="757">
        <f>'D-2 Off-Site Habitat Creation'!AF86</f>
        <v>0</v>
      </c>
      <c r="M330" s="757">
        <f>'E-2 Off-Site Hedge Creation'!AD87</f>
        <v>0</v>
      </c>
      <c r="V330" s="1">
        <f>'F-2 Off-Site WaterC'' Creation'!AG87</f>
        <v>0</v>
      </c>
    </row>
    <row r="331" spans="1:22" x14ac:dyDescent="0.3">
      <c r="A331" s="757">
        <f>'D-2 Off-Site Habitat Creation'!AF87</f>
        <v>0</v>
      </c>
      <c r="M331" s="757">
        <f>'E-2 Off-Site Hedge Creation'!AD88</f>
        <v>0</v>
      </c>
      <c r="V331" s="1">
        <f>'F-2 Off-Site WaterC'' Creation'!AG88</f>
        <v>0</v>
      </c>
    </row>
    <row r="332" spans="1:22" x14ac:dyDescent="0.3">
      <c r="A332" s="757">
        <f>'D-2 Off-Site Habitat Creation'!AF88</f>
        <v>0</v>
      </c>
      <c r="M332" s="757">
        <f>'E-2 Off-Site Hedge Creation'!AD89</f>
        <v>0</v>
      </c>
      <c r="V332" s="1">
        <f>'F-2 Off-Site WaterC'' Creation'!AG89</f>
        <v>0</v>
      </c>
    </row>
    <row r="333" spans="1:22" x14ac:dyDescent="0.3">
      <c r="A333" s="757">
        <f>'D-2 Off-Site Habitat Creation'!AF89</f>
        <v>0</v>
      </c>
      <c r="M333" s="757">
        <f>'E-2 Off-Site Hedge Creation'!AD90</f>
        <v>0</v>
      </c>
      <c r="V333" s="1">
        <f>'F-2 Off-Site WaterC'' Creation'!AG90</f>
        <v>0</v>
      </c>
    </row>
    <row r="334" spans="1:22" x14ac:dyDescent="0.3">
      <c r="A334" s="757">
        <f>'D-2 Off-Site Habitat Creation'!AF90</f>
        <v>0</v>
      </c>
      <c r="M334" s="757">
        <f>'E-2 Off-Site Hedge Creation'!AD91</f>
        <v>0</v>
      </c>
      <c r="V334" s="1">
        <f>'F-2 Off-Site WaterC'' Creation'!AG91</f>
        <v>0</v>
      </c>
    </row>
    <row r="335" spans="1:22" x14ac:dyDescent="0.3">
      <c r="A335" s="757">
        <f>'D-2 Off-Site Habitat Creation'!AF91</f>
        <v>0</v>
      </c>
      <c r="M335" s="757">
        <f>'E-2 Off-Site Hedge Creation'!AD92</f>
        <v>0</v>
      </c>
      <c r="V335" s="1">
        <f>'F-2 Off-Site WaterC'' Creation'!AG92</f>
        <v>0</v>
      </c>
    </row>
    <row r="336" spans="1:22" x14ac:dyDescent="0.3">
      <c r="A336" s="757">
        <f>'D-2 Off-Site Habitat Creation'!AF92</f>
        <v>0</v>
      </c>
      <c r="M336" s="757">
        <f>'E-2 Off-Site Hedge Creation'!AD93</f>
        <v>0</v>
      </c>
      <c r="V336" s="1">
        <f>'F-2 Off-Site WaterC'' Creation'!AG93</f>
        <v>0</v>
      </c>
    </row>
    <row r="337" spans="1:22" x14ac:dyDescent="0.3">
      <c r="A337" s="757">
        <f>'D-2 Off-Site Habitat Creation'!AF93</f>
        <v>0</v>
      </c>
      <c r="M337" s="757">
        <f>'E-2 Off-Site Hedge Creation'!AD94</f>
        <v>0</v>
      </c>
      <c r="V337" s="1">
        <f>'F-2 Off-Site WaterC'' Creation'!AG94</f>
        <v>0</v>
      </c>
    </row>
    <row r="338" spans="1:22" x14ac:dyDescent="0.3">
      <c r="A338" s="757">
        <f>'D-2 Off-Site Habitat Creation'!AF94</f>
        <v>0</v>
      </c>
      <c r="M338" s="757">
        <f>'E-2 Off-Site Hedge Creation'!AD95</f>
        <v>0</v>
      </c>
      <c r="V338" s="1">
        <f>'F-2 Off-Site WaterC'' Creation'!AG95</f>
        <v>0</v>
      </c>
    </row>
    <row r="339" spans="1:22" x14ac:dyDescent="0.3">
      <c r="A339" s="757">
        <f>'D-2 Off-Site Habitat Creation'!AF95</f>
        <v>0</v>
      </c>
      <c r="M339" s="757">
        <f>'E-2 Off-Site Hedge Creation'!AD96</f>
        <v>0</v>
      </c>
      <c r="V339" s="1">
        <f>'F-2 Off-Site WaterC'' Creation'!AG96</f>
        <v>0</v>
      </c>
    </row>
    <row r="340" spans="1:22" x14ac:dyDescent="0.3">
      <c r="A340" s="757">
        <f>'D-2 Off-Site Habitat Creation'!AF96</f>
        <v>0</v>
      </c>
      <c r="M340" s="757">
        <f>'E-2 Off-Site Hedge Creation'!AD97</f>
        <v>0</v>
      </c>
      <c r="V340" s="1">
        <f>'F-2 Off-Site WaterC'' Creation'!AG97</f>
        <v>0</v>
      </c>
    </row>
    <row r="341" spans="1:22" x14ac:dyDescent="0.3">
      <c r="A341" s="757">
        <f>'D-2 Off-Site Habitat Creation'!AF97</f>
        <v>0</v>
      </c>
      <c r="M341" s="757">
        <f>'E-2 Off-Site Hedge Creation'!AD98</f>
        <v>0</v>
      </c>
      <c r="V341" s="1">
        <f>'F-2 Off-Site WaterC'' Creation'!AG98</f>
        <v>0</v>
      </c>
    </row>
    <row r="342" spans="1:22" x14ac:dyDescent="0.3">
      <c r="A342" s="757">
        <f>'D-2 Off-Site Habitat Creation'!AF98</f>
        <v>0</v>
      </c>
      <c r="M342" s="757">
        <f>'E-2 Off-Site Hedge Creation'!AD99</f>
        <v>0</v>
      </c>
      <c r="V342" s="1">
        <f>'F-2 Off-Site WaterC'' Creation'!AG99</f>
        <v>0</v>
      </c>
    </row>
    <row r="343" spans="1:22" x14ac:dyDescent="0.3">
      <c r="A343" s="757">
        <f>'D-2 Off-Site Habitat Creation'!AF99</f>
        <v>0</v>
      </c>
      <c r="M343" s="757">
        <f>'E-2 Off-Site Hedge Creation'!AD100</f>
        <v>0</v>
      </c>
      <c r="V343" s="1">
        <f>'F-2 Off-Site WaterC'' Creation'!AG100</f>
        <v>0</v>
      </c>
    </row>
    <row r="344" spans="1:22" x14ac:dyDescent="0.3">
      <c r="A344" s="757">
        <f>'D-2 Off-Site Habitat Creation'!AF100</f>
        <v>0</v>
      </c>
      <c r="M344" s="757">
        <f>'E-2 Off-Site Hedge Creation'!AD101</f>
        <v>0</v>
      </c>
      <c r="V344" s="1">
        <f>'F-2 Off-Site WaterC'' Creation'!AG101</f>
        <v>0</v>
      </c>
    </row>
    <row r="345" spans="1:22" x14ac:dyDescent="0.3">
      <c r="A345" s="757">
        <f>'D-2 Off-Site Habitat Creation'!AF101</f>
        <v>0</v>
      </c>
      <c r="M345" s="757">
        <f>'E-2 Off-Site Hedge Creation'!AD102</f>
        <v>0</v>
      </c>
      <c r="V345" s="1">
        <f>'F-2 Off-Site WaterC'' Creation'!AG102</f>
        <v>0</v>
      </c>
    </row>
    <row r="346" spans="1:22" x14ac:dyDescent="0.3">
      <c r="A346" s="757">
        <f>'D-2 Off-Site Habitat Creation'!AF102</f>
        <v>0</v>
      </c>
      <c r="M346" s="757">
        <f>'E-2 Off-Site Hedge Creation'!AD103</f>
        <v>0</v>
      </c>
      <c r="V346" s="1">
        <f>'F-2 Off-Site WaterC'' Creation'!AG103</f>
        <v>0</v>
      </c>
    </row>
    <row r="347" spans="1:22" x14ac:dyDescent="0.3">
      <c r="A347" s="757">
        <f>'D-2 Off-Site Habitat Creation'!AF103</f>
        <v>0</v>
      </c>
      <c r="M347" s="757">
        <f>'E-2 Off-Site Hedge Creation'!AD104</f>
        <v>0</v>
      </c>
      <c r="V347" s="1">
        <f>'F-2 Off-Site WaterC'' Creation'!AG104</f>
        <v>0</v>
      </c>
    </row>
    <row r="348" spans="1:22" x14ac:dyDescent="0.3">
      <c r="A348" s="757">
        <f>'D-2 Off-Site Habitat Creation'!AF104</f>
        <v>0</v>
      </c>
      <c r="M348" s="757">
        <f>'E-2 Off-Site Hedge Creation'!AD105</f>
        <v>0</v>
      </c>
      <c r="V348" s="1">
        <f>'F-2 Off-Site WaterC'' Creation'!AG105</f>
        <v>0</v>
      </c>
    </row>
    <row r="349" spans="1:22" x14ac:dyDescent="0.3">
      <c r="A349" s="757">
        <f>'D-2 Off-Site Habitat Creation'!AF105</f>
        <v>0</v>
      </c>
      <c r="M349" s="757">
        <f>'E-2 Off-Site Hedge Creation'!AD106</f>
        <v>0</v>
      </c>
      <c r="V349" s="1">
        <f>'F-2 Off-Site WaterC'' Creation'!AG106</f>
        <v>0</v>
      </c>
    </row>
    <row r="350" spans="1:22" x14ac:dyDescent="0.3">
      <c r="A350" s="757">
        <f>'D-2 Off-Site Habitat Creation'!AF106</f>
        <v>0</v>
      </c>
      <c r="M350" s="757">
        <f>'E-2 Off-Site Hedge Creation'!AD107</f>
        <v>0</v>
      </c>
      <c r="V350" s="1">
        <f>'F-2 Off-Site WaterC'' Creation'!AG107</f>
        <v>0</v>
      </c>
    </row>
    <row r="351" spans="1:22" x14ac:dyDescent="0.3">
      <c r="A351" s="757">
        <f>'D-2 Off-Site Habitat Creation'!AF107</f>
        <v>0</v>
      </c>
      <c r="M351" s="757">
        <f>'E-2 Off-Site Hedge Creation'!AD108</f>
        <v>0</v>
      </c>
      <c r="V351" s="1">
        <f>'F-2 Off-Site WaterC'' Creation'!AG108</f>
        <v>0</v>
      </c>
    </row>
    <row r="352" spans="1:22" x14ac:dyDescent="0.3">
      <c r="A352" s="757">
        <f>'D-2 Off-Site Habitat Creation'!AF108</f>
        <v>0</v>
      </c>
      <c r="M352" s="757">
        <f>'E-2 Off-Site Hedge Creation'!AD109</f>
        <v>0</v>
      </c>
      <c r="V352" s="1">
        <f>'F-2 Off-Site WaterC'' Creation'!AG109</f>
        <v>0</v>
      </c>
    </row>
    <row r="353" spans="1:22" x14ac:dyDescent="0.3">
      <c r="A353" s="757">
        <f>'D-2 Off-Site Habitat Creation'!AF109</f>
        <v>0</v>
      </c>
      <c r="M353" s="757">
        <f>'E-2 Off-Site Hedge Creation'!AD110</f>
        <v>0</v>
      </c>
      <c r="V353" s="1">
        <f>'F-2 Off-Site WaterC'' Creation'!AG110</f>
        <v>0</v>
      </c>
    </row>
    <row r="354" spans="1:22" x14ac:dyDescent="0.3">
      <c r="A354" s="757">
        <f>'D-2 Off-Site Habitat Creation'!AF110</f>
        <v>0</v>
      </c>
      <c r="M354" s="757">
        <f>'E-2 Off-Site Hedge Creation'!AD111</f>
        <v>0</v>
      </c>
      <c r="V354" s="1">
        <f>'F-2 Off-Site WaterC'' Creation'!AG111</f>
        <v>0</v>
      </c>
    </row>
    <row r="355" spans="1:22" x14ac:dyDescent="0.3">
      <c r="A355" s="757">
        <f>'D-2 Off-Site Habitat Creation'!AF111</f>
        <v>0</v>
      </c>
      <c r="M355" s="757">
        <f>'E-2 Off-Site Hedge Creation'!AD112</f>
        <v>0</v>
      </c>
      <c r="V355" s="1">
        <f>'F-2 Off-Site WaterC'' Creation'!AG112</f>
        <v>0</v>
      </c>
    </row>
    <row r="356" spans="1:22" x14ac:dyDescent="0.3">
      <c r="A356" s="757">
        <f>'D-2 Off-Site Habitat Creation'!AF112</f>
        <v>0</v>
      </c>
      <c r="M356" s="757">
        <f>'E-2 Off-Site Hedge Creation'!AD113</f>
        <v>0</v>
      </c>
      <c r="V356" s="1">
        <f>'F-2 Off-Site WaterC'' Creation'!AG113</f>
        <v>0</v>
      </c>
    </row>
    <row r="357" spans="1:22" x14ac:dyDescent="0.3">
      <c r="A357" s="757">
        <f>'D-2 Off-Site Habitat Creation'!AF113</f>
        <v>0</v>
      </c>
      <c r="M357" s="757">
        <f>'E-2 Off-Site Hedge Creation'!AD114</f>
        <v>0</v>
      </c>
      <c r="V357" s="1">
        <f>'F-2 Off-Site WaterC'' Creation'!AG114</f>
        <v>0</v>
      </c>
    </row>
    <row r="358" spans="1:22" x14ac:dyDescent="0.3">
      <c r="A358" s="757">
        <f>'D-2 Off-Site Habitat Creation'!AF114</f>
        <v>0</v>
      </c>
      <c r="M358" s="757">
        <f>'E-2 Off-Site Hedge Creation'!AD115</f>
        <v>0</v>
      </c>
      <c r="V358" s="1">
        <f>'F-2 Off-Site WaterC'' Creation'!AG115</f>
        <v>0</v>
      </c>
    </row>
    <row r="359" spans="1:22" x14ac:dyDescent="0.3">
      <c r="A359" s="757">
        <f>'D-2 Off-Site Habitat Creation'!AF115</f>
        <v>0</v>
      </c>
      <c r="M359" s="757">
        <f>'E-2 Off-Site Hedge Creation'!AD116</f>
        <v>0</v>
      </c>
      <c r="V359" s="1">
        <f>'F-2 Off-Site WaterC'' Creation'!AG116</f>
        <v>0</v>
      </c>
    </row>
    <row r="360" spans="1:22" x14ac:dyDescent="0.3">
      <c r="A360" s="757">
        <f>'D-2 Off-Site Habitat Creation'!AF116</f>
        <v>0</v>
      </c>
      <c r="M360" s="757">
        <f>'E-2 Off-Site Hedge Creation'!AD117</f>
        <v>0</v>
      </c>
      <c r="V360" s="1">
        <f>'F-2 Off-Site WaterC'' Creation'!AG117</f>
        <v>0</v>
      </c>
    </row>
    <row r="361" spans="1:22" x14ac:dyDescent="0.3">
      <c r="A361" s="757">
        <f>'D-2 Off-Site Habitat Creation'!AF117</f>
        <v>0</v>
      </c>
      <c r="M361" s="757">
        <f>'E-2 Off-Site Hedge Creation'!AD118</f>
        <v>0</v>
      </c>
      <c r="V361" s="1">
        <f>'F-2 Off-Site WaterC'' Creation'!AG118</f>
        <v>0</v>
      </c>
    </row>
    <row r="362" spans="1:22" x14ac:dyDescent="0.3">
      <c r="A362" s="757">
        <f>'D-2 Off-Site Habitat Creation'!AF118</f>
        <v>0</v>
      </c>
      <c r="M362" s="757">
        <f>'E-2 Off-Site Hedge Creation'!AD119</f>
        <v>0</v>
      </c>
      <c r="V362" s="1">
        <f>'F-2 Off-Site WaterC'' Creation'!AG119</f>
        <v>0</v>
      </c>
    </row>
    <row r="363" spans="1:22" x14ac:dyDescent="0.3">
      <c r="A363" s="757">
        <f>'D-2 Off-Site Habitat Creation'!AF119</f>
        <v>0</v>
      </c>
      <c r="M363" s="757">
        <f>'E-2 Off-Site Hedge Creation'!AD120</f>
        <v>0</v>
      </c>
      <c r="V363" s="1">
        <f>'F-2 Off-Site WaterC'' Creation'!AG120</f>
        <v>0</v>
      </c>
    </row>
    <row r="364" spans="1:22" x14ac:dyDescent="0.3">
      <c r="A364" s="757">
        <f>'D-2 Off-Site Habitat Creation'!AF120</f>
        <v>0</v>
      </c>
      <c r="M364" s="757">
        <f>'E-2 Off-Site Hedge Creation'!AD121</f>
        <v>0</v>
      </c>
      <c r="V364" s="1">
        <f>'F-2 Off-Site WaterC'' Creation'!AG121</f>
        <v>0</v>
      </c>
    </row>
    <row r="365" spans="1:22" x14ac:dyDescent="0.3">
      <c r="A365" s="757">
        <f>'D-2 Off-Site Habitat Creation'!AF121</f>
        <v>0</v>
      </c>
      <c r="M365" s="757">
        <f>'E-2 Off-Site Hedge Creation'!AD122</f>
        <v>0</v>
      </c>
      <c r="V365" s="1">
        <f>'F-2 Off-Site WaterC'' Creation'!AG122</f>
        <v>0</v>
      </c>
    </row>
    <row r="366" spans="1:22" x14ac:dyDescent="0.3">
      <c r="A366" s="757">
        <f>'D-2 Off-Site Habitat Creation'!AF122</f>
        <v>0</v>
      </c>
      <c r="M366" s="757">
        <f>'E-2 Off-Site Hedge Creation'!AD123</f>
        <v>0</v>
      </c>
      <c r="V366" s="1">
        <f>'F-2 Off-Site WaterC'' Creation'!AG123</f>
        <v>0</v>
      </c>
    </row>
    <row r="367" spans="1:22" x14ac:dyDescent="0.3">
      <c r="A367" s="757">
        <f>'D-2 Off-Site Habitat Creation'!AF123</f>
        <v>0</v>
      </c>
      <c r="M367" s="757">
        <f>'E-2 Off-Site Hedge Creation'!AD124</f>
        <v>0</v>
      </c>
      <c r="V367" s="1">
        <f>'F-2 Off-Site WaterC'' Creation'!AG124</f>
        <v>0</v>
      </c>
    </row>
    <row r="368" spans="1:22" x14ac:dyDescent="0.3">
      <c r="A368" s="757">
        <f>'D-2 Off-Site Habitat Creation'!AF124</f>
        <v>0</v>
      </c>
      <c r="M368" s="757">
        <f>'E-2 Off-Site Hedge Creation'!AD125</f>
        <v>0</v>
      </c>
      <c r="V368" s="1">
        <f>'F-2 Off-Site WaterC'' Creation'!AG125</f>
        <v>0</v>
      </c>
    </row>
    <row r="369" spans="1:22" x14ac:dyDescent="0.3">
      <c r="A369" s="757">
        <f>'D-2 Off-Site Habitat Creation'!AF125</f>
        <v>0</v>
      </c>
      <c r="M369" s="757">
        <f>'E-2 Off-Site Hedge Creation'!AD126</f>
        <v>0</v>
      </c>
      <c r="V369" s="1">
        <f>'F-2 Off-Site WaterC'' Creation'!AG126</f>
        <v>0</v>
      </c>
    </row>
    <row r="370" spans="1:22" x14ac:dyDescent="0.3">
      <c r="A370" s="757">
        <f>'D-2 Off-Site Habitat Creation'!AF126</f>
        <v>0</v>
      </c>
      <c r="M370" s="757">
        <f>'E-2 Off-Site Hedge Creation'!AD127</f>
        <v>0</v>
      </c>
      <c r="V370" s="1">
        <f>'F-2 Off-Site WaterC'' Creation'!AG127</f>
        <v>0</v>
      </c>
    </row>
    <row r="371" spans="1:22" x14ac:dyDescent="0.3">
      <c r="A371" s="757">
        <f>'D-2 Off-Site Habitat Creation'!AF127</f>
        <v>0</v>
      </c>
      <c r="M371" s="757">
        <f>'E-2 Off-Site Hedge Creation'!AD128</f>
        <v>0</v>
      </c>
      <c r="V371" s="1">
        <f>'F-2 Off-Site WaterC'' Creation'!AG128</f>
        <v>0</v>
      </c>
    </row>
    <row r="372" spans="1:22" x14ac:dyDescent="0.3">
      <c r="A372" s="757">
        <f>'D-2 Off-Site Habitat Creation'!AF128</f>
        <v>0</v>
      </c>
      <c r="M372" s="757">
        <f>'E-2 Off-Site Hedge Creation'!AD129</f>
        <v>0</v>
      </c>
      <c r="V372" s="1">
        <f>'F-2 Off-Site WaterC'' Creation'!AG129</f>
        <v>0</v>
      </c>
    </row>
    <row r="373" spans="1:22" x14ac:dyDescent="0.3">
      <c r="A373" s="757">
        <f>'D-2 Off-Site Habitat Creation'!AF129</f>
        <v>0</v>
      </c>
      <c r="M373" s="757">
        <f>'E-2 Off-Site Hedge Creation'!AD130</f>
        <v>0</v>
      </c>
      <c r="V373" s="1">
        <f>'F-2 Off-Site WaterC'' Creation'!AG130</f>
        <v>0</v>
      </c>
    </row>
    <row r="374" spans="1:22" x14ac:dyDescent="0.3">
      <c r="A374" s="757">
        <f>'D-2 Off-Site Habitat Creation'!AF130</f>
        <v>0</v>
      </c>
      <c r="M374" s="757">
        <f>'E-2 Off-Site Hedge Creation'!AD131</f>
        <v>0</v>
      </c>
      <c r="V374" s="1">
        <f>'F-2 Off-Site WaterC'' Creation'!AG131</f>
        <v>0</v>
      </c>
    </row>
    <row r="375" spans="1:22" x14ac:dyDescent="0.3">
      <c r="A375" s="757">
        <f>'D-2 Off-Site Habitat Creation'!AF131</f>
        <v>0</v>
      </c>
      <c r="M375" s="757">
        <f>'E-2 Off-Site Hedge Creation'!AD132</f>
        <v>0</v>
      </c>
      <c r="V375" s="1">
        <f>'F-2 Off-Site WaterC'' Creation'!AG132</f>
        <v>0</v>
      </c>
    </row>
    <row r="376" spans="1:22" x14ac:dyDescent="0.3">
      <c r="A376" s="757">
        <f>'D-2 Off-Site Habitat Creation'!AF132</f>
        <v>0</v>
      </c>
      <c r="M376" s="757">
        <f>'E-2 Off-Site Hedge Creation'!AD133</f>
        <v>0</v>
      </c>
      <c r="V376" s="1">
        <f>'F-2 Off-Site WaterC'' Creation'!AG133</f>
        <v>0</v>
      </c>
    </row>
    <row r="377" spans="1:22" x14ac:dyDescent="0.3">
      <c r="A377" s="757">
        <f>'D-2 Off-Site Habitat Creation'!AF133</f>
        <v>0</v>
      </c>
      <c r="M377" s="757">
        <f>'E-2 Off-Site Hedge Creation'!AD134</f>
        <v>0</v>
      </c>
      <c r="V377" s="1">
        <f>'F-2 Off-Site WaterC'' Creation'!AG134</f>
        <v>0</v>
      </c>
    </row>
    <row r="378" spans="1:22" x14ac:dyDescent="0.3">
      <c r="A378" s="757">
        <f>'D-2 Off-Site Habitat Creation'!AF134</f>
        <v>0</v>
      </c>
      <c r="M378" s="757">
        <f>'E-2 Off-Site Hedge Creation'!AD135</f>
        <v>0</v>
      </c>
      <c r="V378" s="1">
        <f>'F-2 Off-Site WaterC'' Creation'!AG135</f>
        <v>0</v>
      </c>
    </row>
    <row r="379" spans="1:22" x14ac:dyDescent="0.3">
      <c r="A379" s="757">
        <f>'D-2 Off-Site Habitat Creation'!AF135</f>
        <v>0</v>
      </c>
      <c r="M379" s="757">
        <f>'E-2 Off-Site Hedge Creation'!AD136</f>
        <v>0</v>
      </c>
      <c r="V379" s="1">
        <f>'F-2 Off-Site WaterC'' Creation'!AG136</f>
        <v>0</v>
      </c>
    </row>
    <row r="380" spans="1:22" x14ac:dyDescent="0.3">
      <c r="A380" s="757">
        <f>'D-2 Off-Site Habitat Creation'!AF136</f>
        <v>0</v>
      </c>
      <c r="M380" s="757">
        <f>'E-2 Off-Site Hedge Creation'!AD137</f>
        <v>0</v>
      </c>
      <c r="V380" s="1">
        <f>'F-2 Off-Site WaterC'' Creation'!AG137</f>
        <v>0</v>
      </c>
    </row>
    <row r="381" spans="1:22" x14ac:dyDescent="0.3">
      <c r="A381" s="757">
        <f>'D-2 Off-Site Habitat Creation'!AF137</f>
        <v>0</v>
      </c>
      <c r="M381" s="757">
        <f>'E-2 Off-Site Hedge Creation'!AD138</f>
        <v>0</v>
      </c>
      <c r="V381" s="1">
        <f>'F-2 Off-Site WaterC'' Creation'!AG138</f>
        <v>0</v>
      </c>
    </row>
    <row r="382" spans="1:22" x14ac:dyDescent="0.3">
      <c r="A382" s="757">
        <f>'D-2 Off-Site Habitat Creation'!AF138</f>
        <v>0</v>
      </c>
      <c r="M382" s="757">
        <f>'E-2 Off-Site Hedge Creation'!AD139</f>
        <v>0</v>
      </c>
      <c r="V382" s="1">
        <f>'F-2 Off-Site WaterC'' Creation'!AG139</f>
        <v>0</v>
      </c>
    </row>
    <row r="383" spans="1:22" x14ac:dyDescent="0.3">
      <c r="A383" s="757">
        <f>'D-2 Off-Site Habitat Creation'!AF139</f>
        <v>0</v>
      </c>
      <c r="M383" s="757">
        <f>'E-2 Off-Site Hedge Creation'!AD140</f>
        <v>0</v>
      </c>
      <c r="V383" s="1">
        <f>'F-2 Off-Site WaterC'' Creation'!AG140</f>
        <v>0</v>
      </c>
    </row>
    <row r="384" spans="1:22" x14ac:dyDescent="0.3">
      <c r="A384" s="757">
        <f>'D-2 Off-Site Habitat Creation'!AF140</f>
        <v>0</v>
      </c>
      <c r="M384" s="757">
        <f>'E-2 Off-Site Hedge Creation'!AD141</f>
        <v>0</v>
      </c>
      <c r="V384" s="1">
        <f>'F-2 Off-Site WaterC'' Creation'!AG141</f>
        <v>0</v>
      </c>
    </row>
    <row r="385" spans="1:22" x14ac:dyDescent="0.3">
      <c r="A385" s="757">
        <f>'D-2 Off-Site Habitat Creation'!AF141</f>
        <v>0</v>
      </c>
      <c r="M385" s="757">
        <f>'E-2 Off-Site Hedge Creation'!AD142</f>
        <v>0</v>
      </c>
      <c r="V385" s="1">
        <f>'F-2 Off-Site WaterC'' Creation'!AG142</f>
        <v>0</v>
      </c>
    </row>
    <row r="386" spans="1:22" x14ac:dyDescent="0.3">
      <c r="A386" s="757">
        <f>'D-2 Off-Site Habitat Creation'!AF142</f>
        <v>0</v>
      </c>
      <c r="M386" s="757">
        <f>'E-2 Off-Site Hedge Creation'!AD143</f>
        <v>0</v>
      </c>
      <c r="V386" s="1">
        <f>'F-2 Off-Site WaterC'' Creation'!AG143</f>
        <v>0</v>
      </c>
    </row>
    <row r="387" spans="1:22" x14ac:dyDescent="0.3">
      <c r="A387" s="757">
        <f>'D-2 Off-Site Habitat Creation'!AF143</f>
        <v>0</v>
      </c>
      <c r="M387" s="757">
        <f>'E-2 Off-Site Hedge Creation'!AD144</f>
        <v>0</v>
      </c>
      <c r="V387" s="1">
        <f>'F-2 Off-Site WaterC'' Creation'!AG144</f>
        <v>0</v>
      </c>
    </row>
    <row r="388" spans="1:22" x14ac:dyDescent="0.3">
      <c r="A388" s="757">
        <f>'D-2 Off-Site Habitat Creation'!AF144</f>
        <v>0</v>
      </c>
      <c r="M388" s="757">
        <f>'E-2 Off-Site Hedge Creation'!AD145</f>
        <v>0</v>
      </c>
      <c r="V388" s="1">
        <f>'F-2 Off-Site WaterC'' Creation'!AG145</f>
        <v>0</v>
      </c>
    </row>
    <row r="389" spans="1:22" x14ac:dyDescent="0.3">
      <c r="A389" s="757">
        <f>'D-2 Off-Site Habitat Creation'!AF145</f>
        <v>0</v>
      </c>
      <c r="M389" s="757">
        <f>'E-2 Off-Site Hedge Creation'!AD146</f>
        <v>0</v>
      </c>
      <c r="V389" s="1">
        <f>'F-2 Off-Site WaterC'' Creation'!AG146</f>
        <v>0</v>
      </c>
    </row>
    <row r="390" spans="1:22" x14ac:dyDescent="0.3">
      <c r="A390" s="757">
        <f>'D-2 Off-Site Habitat Creation'!AF146</f>
        <v>0</v>
      </c>
      <c r="M390" s="757">
        <f>'E-2 Off-Site Hedge Creation'!AD147</f>
        <v>0</v>
      </c>
      <c r="V390" s="1">
        <f>'F-2 Off-Site WaterC'' Creation'!AG147</f>
        <v>0</v>
      </c>
    </row>
    <row r="391" spans="1:22" x14ac:dyDescent="0.3">
      <c r="A391" s="757">
        <f>'D-2 Off-Site Habitat Creation'!AF147</f>
        <v>0</v>
      </c>
      <c r="M391" s="757">
        <f>'E-2 Off-Site Hedge Creation'!AD148</f>
        <v>0</v>
      </c>
      <c r="V391" s="1">
        <f>'F-2 Off-Site WaterC'' Creation'!AG148</f>
        <v>0</v>
      </c>
    </row>
    <row r="392" spans="1:22" x14ac:dyDescent="0.3">
      <c r="A392" s="757">
        <f>'D-2 Off-Site Habitat Creation'!AF148</f>
        <v>0</v>
      </c>
      <c r="M392" s="757">
        <f>'E-2 Off-Site Hedge Creation'!AD149</f>
        <v>0</v>
      </c>
      <c r="V392" s="1">
        <f>'F-2 Off-Site WaterC'' Creation'!AG149</f>
        <v>0</v>
      </c>
    </row>
    <row r="393" spans="1:22" x14ac:dyDescent="0.3">
      <c r="A393" s="757">
        <f>'D-2 Off-Site Habitat Creation'!AF149</f>
        <v>0</v>
      </c>
      <c r="M393" s="757">
        <f>'E-2 Off-Site Hedge Creation'!AD150</f>
        <v>0</v>
      </c>
      <c r="V393" s="1">
        <f>'F-2 Off-Site WaterC'' Creation'!AG150</f>
        <v>0</v>
      </c>
    </row>
    <row r="394" spans="1:22" x14ac:dyDescent="0.3">
      <c r="A394" s="757">
        <f>'D-2 Off-Site Habitat Creation'!AF150</f>
        <v>0</v>
      </c>
      <c r="M394" s="757">
        <f>'E-2 Off-Site Hedge Creation'!AD151</f>
        <v>0</v>
      </c>
      <c r="V394" s="1">
        <f>'F-2 Off-Site WaterC'' Creation'!AG151</f>
        <v>0</v>
      </c>
    </row>
    <row r="395" spans="1:22" x14ac:dyDescent="0.3">
      <c r="A395" s="757">
        <f>'D-2 Off-Site Habitat Creation'!AF151</f>
        <v>0</v>
      </c>
      <c r="M395" s="757">
        <f>'E-2 Off-Site Hedge Creation'!AD152</f>
        <v>0</v>
      </c>
      <c r="V395" s="1">
        <f>'F-2 Off-Site WaterC'' Creation'!AG152</f>
        <v>0</v>
      </c>
    </row>
    <row r="396" spans="1:22" x14ac:dyDescent="0.3">
      <c r="A396" s="757">
        <f>'D-2 Off-Site Habitat Creation'!AF152</f>
        <v>0</v>
      </c>
      <c r="M396" s="757">
        <f>'E-2 Off-Site Hedge Creation'!AD153</f>
        <v>0</v>
      </c>
      <c r="V396" s="1">
        <f>'F-2 Off-Site WaterC'' Creation'!AG153</f>
        <v>0</v>
      </c>
    </row>
    <row r="397" spans="1:22" x14ac:dyDescent="0.3">
      <c r="A397" s="757">
        <f>'D-2 Off-Site Habitat Creation'!AF153</f>
        <v>0</v>
      </c>
      <c r="M397" s="757">
        <f>'E-2 Off-Site Hedge Creation'!AD154</f>
        <v>0</v>
      </c>
      <c r="V397" s="1">
        <f>'F-2 Off-Site WaterC'' Creation'!AG154</f>
        <v>0</v>
      </c>
    </row>
    <row r="398" spans="1:22" x14ac:dyDescent="0.3">
      <c r="A398" s="757">
        <f>'D-2 Off-Site Habitat Creation'!AF154</f>
        <v>0</v>
      </c>
      <c r="M398" s="757">
        <f>'E-2 Off-Site Hedge Creation'!AD155</f>
        <v>0</v>
      </c>
      <c r="V398" s="1">
        <f>'F-2 Off-Site WaterC'' Creation'!AG155</f>
        <v>0</v>
      </c>
    </row>
    <row r="399" spans="1:22" x14ac:dyDescent="0.3">
      <c r="A399" s="757">
        <f>'D-2 Off-Site Habitat Creation'!AF155</f>
        <v>0</v>
      </c>
      <c r="M399" s="757">
        <f>'E-2 Off-Site Hedge Creation'!AD156</f>
        <v>0</v>
      </c>
      <c r="V399" s="1">
        <f>'F-2 Off-Site WaterC'' Creation'!AG156</f>
        <v>0</v>
      </c>
    </row>
    <row r="400" spans="1:22" x14ac:dyDescent="0.3">
      <c r="A400" s="757">
        <f>'D-2 Off-Site Habitat Creation'!AF156</f>
        <v>0</v>
      </c>
      <c r="M400" s="757">
        <f>'E-2 Off-Site Hedge Creation'!AD157</f>
        <v>0</v>
      </c>
      <c r="V400" s="1">
        <f>'F-2 Off-Site WaterC'' Creation'!AG157</f>
        <v>0</v>
      </c>
    </row>
    <row r="401" spans="1:22" x14ac:dyDescent="0.3">
      <c r="A401" s="757">
        <f>'D-2 Off-Site Habitat Creation'!AF157</f>
        <v>0</v>
      </c>
      <c r="M401" s="757">
        <f>'E-2 Off-Site Hedge Creation'!AD158</f>
        <v>0</v>
      </c>
      <c r="V401" s="1">
        <f>'F-2 Off-Site WaterC'' Creation'!AG158</f>
        <v>0</v>
      </c>
    </row>
    <row r="402" spans="1:22" x14ac:dyDescent="0.3">
      <c r="A402" s="757">
        <f>'D-2 Off-Site Habitat Creation'!AF158</f>
        <v>0</v>
      </c>
      <c r="M402" s="757">
        <f>'E-2 Off-Site Hedge Creation'!AD159</f>
        <v>0</v>
      </c>
      <c r="V402" s="1">
        <f>'F-2 Off-Site WaterC'' Creation'!AG159</f>
        <v>0</v>
      </c>
    </row>
    <row r="403" spans="1:22" x14ac:dyDescent="0.3">
      <c r="A403" s="757">
        <f>'D-2 Off-Site Habitat Creation'!AF159</f>
        <v>0</v>
      </c>
      <c r="M403" s="757">
        <f>'E-2 Off-Site Hedge Creation'!AD160</f>
        <v>0</v>
      </c>
      <c r="V403" s="1">
        <f>'F-2 Off-Site WaterC'' Creation'!AG160</f>
        <v>0</v>
      </c>
    </row>
    <row r="404" spans="1:22" x14ac:dyDescent="0.3">
      <c r="A404" s="757">
        <f>'D-2 Off-Site Habitat Creation'!AF160</f>
        <v>0</v>
      </c>
      <c r="M404" s="757">
        <f>'E-2 Off-Site Hedge Creation'!AD161</f>
        <v>0</v>
      </c>
      <c r="V404" s="1">
        <f>'F-2 Off-Site WaterC'' Creation'!AG161</f>
        <v>0</v>
      </c>
    </row>
    <row r="405" spans="1:22" x14ac:dyDescent="0.3">
      <c r="A405" s="757">
        <f>'D-2 Off-Site Habitat Creation'!AF161</f>
        <v>0</v>
      </c>
      <c r="M405" s="757">
        <f>'E-2 Off-Site Hedge Creation'!AD162</f>
        <v>0</v>
      </c>
      <c r="V405" s="1">
        <f>'F-2 Off-Site WaterC'' Creation'!AG162</f>
        <v>0</v>
      </c>
    </row>
    <row r="406" spans="1:22" x14ac:dyDescent="0.3">
      <c r="A406" s="757">
        <f>'D-2 Off-Site Habitat Creation'!AF162</f>
        <v>0</v>
      </c>
      <c r="M406" s="757">
        <f>'E-2 Off-Site Hedge Creation'!AD163</f>
        <v>0</v>
      </c>
      <c r="V406" s="1">
        <f>'F-2 Off-Site WaterC'' Creation'!AG163</f>
        <v>0</v>
      </c>
    </row>
    <row r="407" spans="1:22" x14ac:dyDescent="0.3">
      <c r="A407" s="757">
        <f>'D-2 Off-Site Habitat Creation'!AF163</f>
        <v>0</v>
      </c>
      <c r="M407" s="757">
        <f>'E-2 Off-Site Hedge Creation'!AD164</f>
        <v>0</v>
      </c>
      <c r="V407" s="1">
        <f>'F-2 Off-Site WaterC'' Creation'!AG164</f>
        <v>0</v>
      </c>
    </row>
    <row r="408" spans="1:22" x14ac:dyDescent="0.3">
      <c r="A408" s="757">
        <f>'D-2 Off-Site Habitat Creation'!AF164</f>
        <v>0</v>
      </c>
      <c r="M408" s="757">
        <f>'E-2 Off-Site Hedge Creation'!AD165</f>
        <v>0</v>
      </c>
      <c r="V408" s="1">
        <f>'F-2 Off-Site WaterC'' Creation'!AG165</f>
        <v>0</v>
      </c>
    </row>
    <row r="409" spans="1:22" x14ac:dyDescent="0.3">
      <c r="A409" s="757">
        <f>'D-2 Off-Site Habitat Creation'!AF165</f>
        <v>0</v>
      </c>
      <c r="M409" s="757">
        <f>'E-2 Off-Site Hedge Creation'!AD166</f>
        <v>0</v>
      </c>
      <c r="V409" s="1">
        <f>'F-2 Off-Site WaterC'' Creation'!AG166</f>
        <v>0</v>
      </c>
    </row>
    <row r="410" spans="1:22" x14ac:dyDescent="0.3">
      <c r="A410" s="757">
        <f>'D-2 Off-Site Habitat Creation'!AF166</f>
        <v>0</v>
      </c>
      <c r="M410" s="757">
        <f>'E-2 Off-Site Hedge Creation'!AD167</f>
        <v>0</v>
      </c>
      <c r="V410" s="1">
        <f>'F-2 Off-Site WaterC'' Creation'!AG167</f>
        <v>0</v>
      </c>
    </row>
    <row r="411" spans="1:22" x14ac:dyDescent="0.3">
      <c r="A411" s="757">
        <f>'D-2 Off-Site Habitat Creation'!AF167</f>
        <v>0</v>
      </c>
      <c r="M411" s="757">
        <f>'E-2 Off-Site Hedge Creation'!AD168</f>
        <v>0</v>
      </c>
      <c r="V411" s="1">
        <f>'F-2 Off-Site WaterC'' Creation'!AG168</f>
        <v>0</v>
      </c>
    </row>
    <row r="412" spans="1:22" x14ac:dyDescent="0.3">
      <c r="A412" s="757">
        <f>'D-2 Off-Site Habitat Creation'!AF168</f>
        <v>0</v>
      </c>
      <c r="M412" s="757">
        <f>'E-2 Off-Site Hedge Creation'!AD169</f>
        <v>0</v>
      </c>
      <c r="V412" s="1">
        <f>'F-2 Off-Site WaterC'' Creation'!AG169</f>
        <v>0</v>
      </c>
    </row>
    <row r="413" spans="1:22" x14ac:dyDescent="0.3">
      <c r="A413" s="757">
        <f>'D-2 Off-Site Habitat Creation'!AF169</f>
        <v>0</v>
      </c>
      <c r="M413" s="757">
        <f>'E-2 Off-Site Hedge Creation'!AD170</f>
        <v>0</v>
      </c>
      <c r="V413" s="1">
        <f>'F-2 Off-Site WaterC'' Creation'!AG170</f>
        <v>0</v>
      </c>
    </row>
    <row r="414" spans="1:22" x14ac:dyDescent="0.3">
      <c r="A414" s="757">
        <f>'D-2 Off-Site Habitat Creation'!AF170</f>
        <v>0</v>
      </c>
      <c r="M414" s="757">
        <f>'E-2 Off-Site Hedge Creation'!AD171</f>
        <v>0</v>
      </c>
      <c r="V414" s="1">
        <f>'F-2 Off-Site WaterC'' Creation'!AG171</f>
        <v>0</v>
      </c>
    </row>
    <row r="415" spans="1:22" x14ac:dyDescent="0.3">
      <c r="A415" s="757">
        <f>'D-2 Off-Site Habitat Creation'!AF171</f>
        <v>0</v>
      </c>
      <c r="M415" s="757">
        <f>'E-2 Off-Site Hedge Creation'!AD172</f>
        <v>0</v>
      </c>
      <c r="V415" s="1">
        <f>'F-2 Off-Site WaterC'' Creation'!AG172</f>
        <v>0</v>
      </c>
    </row>
    <row r="416" spans="1:22" x14ac:dyDescent="0.3">
      <c r="A416" s="757">
        <f>'D-2 Off-Site Habitat Creation'!AF172</f>
        <v>0</v>
      </c>
      <c r="M416" s="757">
        <f>'E-2 Off-Site Hedge Creation'!AD173</f>
        <v>0</v>
      </c>
      <c r="V416" s="1">
        <f>'F-2 Off-Site WaterC'' Creation'!AG173</f>
        <v>0</v>
      </c>
    </row>
    <row r="417" spans="1:22" x14ac:dyDescent="0.3">
      <c r="A417" s="757">
        <f>'D-2 Off-Site Habitat Creation'!AF173</f>
        <v>0</v>
      </c>
      <c r="M417" s="757">
        <f>'E-2 Off-Site Hedge Creation'!AD174</f>
        <v>0</v>
      </c>
      <c r="V417" s="1">
        <f>'F-2 Off-Site WaterC'' Creation'!AG174</f>
        <v>0</v>
      </c>
    </row>
    <row r="418" spans="1:22" x14ac:dyDescent="0.3">
      <c r="A418" s="757">
        <f>'D-2 Off-Site Habitat Creation'!AF174</f>
        <v>0</v>
      </c>
      <c r="M418" s="757">
        <f>'E-2 Off-Site Hedge Creation'!AD175</f>
        <v>0</v>
      </c>
      <c r="V418" s="1">
        <f>'F-2 Off-Site WaterC'' Creation'!AG175</f>
        <v>0</v>
      </c>
    </row>
    <row r="419" spans="1:22" x14ac:dyDescent="0.3">
      <c r="A419" s="757">
        <f>'D-2 Off-Site Habitat Creation'!AF175</f>
        <v>0</v>
      </c>
      <c r="M419" s="757">
        <f>'E-2 Off-Site Hedge Creation'!AD176</f>
        <v>0</v>
      </c>
      <c r="V419" s="1">
        <f>'F-2 Off-Site WaterC'' Creation'!AG176</f>
        <v>0</v>
      </c>
    </row>
    <row r="420" spans="1:22" x14ac:dyDescent="0.3">
      <c r="A420" s="757">
        <f>'D-2 Off-Site Habitat Creation'!AF176</f>
        <v>0</v>
      </c>
      <c r="M420" s="757">
        <f>'E-2 Off-Site Hedge Creation'!AD177</f>
        <v>0</v>
      </c>
      <c r="V420" s="1">
        <f>'F-2 Off-Site WaterC'' Creation'!AG177</f>
        <v>0</v>
      </c>
    </row>
    <row r="421" spans="1:22" x14ac:dyDescent="0.3">
      <c r="A421" s="757">
        <f>'D-2 Off-Site Habitat Creation'!AF177</f>
        <v>0</v>
      </c>
      <c r="M421" s="757">
        <f>'E-2 Off-Site Hedge Creation'!AD178</f>
        <v>0</v>
      </c>
      <c r="V421" s="1">
        <f>'F-2 Off-Site WaterC'' Creation'!AG178</f>
        <v>0</v>
      </c>
    </row>
    <row r="422" spans="1:22" x14ac:dyDescent="0.3">
      <c r="A422" s="757">
        <f>'D-2 Off-Site Habitat Creation'!AF178</f>
        <v>0</v>
      </c>
      <c r="M422" s="757">
        <f>'E-2 Off-Site Hedge Creation'!AD179</f>
        <v>0</v>
      </c>
      <c r="V422" s="1">
        <f>'F-2 Off-Site WaterC'' Creation'!AG179</f>
        <v>0</v>
      </c>
    </row>
    <row r="423" spans="1:22" x14ac:dyDescent="0.3">
      <c r="A423" s="757">
        <f>'D-2 Off-Site Habitat Creation'!AF179</f>
        <v>0</v>
      </c>
      <c r="M423" s="757">
        <f>'E-2 Off-Site Hedge Creation'!AD180</f>
        <v>0</v>
      </c>
      <c r="V423" s="1">
        <f>'F-2 Off-Site WaterC'' Creation'!AG180</f>
        <v>0</v>
      </c>
    </row>
    <row r="424" spans="1:22" x14ac:dyDescent="0.3">
      <c r="A424" s="757">
        <f>'D-2 Off-Site Habitat Creation'!AF180</f>
        <v>0</v>
      </c>
      <c r="M424" s="757">
        <f>'E-2 Off-Site Hedge Creation'!AD181</f>
        <v>0</v>
      </c>
      <c r="V424" s="1">
        <f>'F-2 Off-Site WaterC'' Creation'!AG181</f>
        <v>0</v>
      </c>
    </row>
    <row r="425" spans="1:22" x14ac:dyDescent="0.3">
      <c r="A425" s="757">
        <f>'D-2 Off-Site Habitat Creation'!AF181</f>
        <v>0</v>
      </c>
      <c r="M425" s="757">
        <f>'E-2 Off-Site Hedge Creation'!AD182</f>
        <v>0</v>
      </c>
      <c r="V425" s="1">
        <f>'F-2 Off-Site WaterC'' Creation'!AG182</f>
        <v>0</v>
      </c>
    </row>
    <row r="426" spans="1:22" x14ac:dyDescent="0.3">
      <c r="A426" s="757">
        <f>'D-2 Off-Site Habitat Creation'!AF182</f>
        <v>0</v>
      </c>
      <c r="M426" s="757">
        <f>'E-2 Off-Site Hedge Creation'!AD183</f>
        <v>0</v>
      </c>
      <c r="V426" s="1">
        <f>'F-2 Off-Site WaterC'' Creation'!AG183</f>
        <v>0</v>
      </c>
    </row>
    <row r="427" spans="1:22" x14ac:dyDescent="0.3">
      <c r="A427" s="757">
        <f>'D-2 Off-Site Habitat Creation'!AF183</f>
        <v>0</v>
      </c>
      <c r="M427" s="757">
        <f>'E-2 Off-Site Hedge Creation'!AD184</f>
        <v>0</v>
      </c>
      <c r="V427" s="1">
        <f>'F-2 Off-Site WaterC'' Creation'!AG184</f>
        <v>0</v>
      </c>
    </row>
    <row r="428" spans="1:22" x14ac:dyDescent="0.3">
      <c r="A428" s="757">
        <f>'D-2 Off-Site Habitat Creation'!AF184</f>
        <v>0</v>
      </c>
      <c r="M428" s="757">
        <f>'E-2 Off-Site Hedge Creation'!AD185</f>
        <v>0</v>
      </c>
      <c r="V428" s="1">
        <f>'F-2 Off-Site WaterC'' Creation'!AG185</f>
        <v>0</v>
      </c>
    </row>
    <row r="429" spans="1:22" x14ac:dyDescent="0.3">
      <c r="A429" s="757">
        <f>'D-2 Off-Site Habitat Creation'!AF185</f>
        <v>0</v>
      </c>
      <c r="M429" s="757">
        <f>'E-2 Off-Site Hedge Creation'!AD186</f>
        <v>0</v>
      </c>
      <c r="V429" s="1">
        <f>'F-2 Off-Site WaterC'' Creation'!AG186</f>
        <v>0</v>
      </c>
    </row>
    <row r="430" spans="1:22" x14ac:dyDescent="0.3">
      <c r="A430" s="757">
        <f>'D-2 Off-Site Habitat Creation'!AF186</f>
        <v>0</v>
      </c>
      <c r="M430" s="757">
        <f>'E-2 Off-Site Hedge Creation'!AD187</f>
        <v>0</v>
      </c>
      <c r="V430" s="1">
        <f>'F-2 Off-Site WaterC'' Creation'!AG187</f>
        <v>0</v>
      </c>
    </row>
    <row r="431" spans="1:22" x14ac:dyDescent="0.3">
      <c r="A431" s="757">
        <f>'D-2 Off-Site Habitat Creation'!AF187</f>
        <v>0</v>
      </c>
      <c r="M431" s="757">
        <f>'E-2 Off-Site Hedge Creation'!AD188</f>
        <v>0</v>
      </c>
      <c r="V431" s="1">
        <f>'F-2 Off-Site WaterC'' Creation'!AG188</f>
        <v>0</v>
      </c>
    </row>
    <row r="432" spans="1:22" x14ac:dyDescent="0.3">
      <c r="A432" s="757">
        <f>'D-2 Off-Site Habitat Creation'!AF188</f>
        <v>0</v>
      </c>
      <c r="M432" s="757">
        <f>'E-2 Off-Site Hedge Creation'!AD189</f>
        <v>0</v>
      </c>
      <c r="V432" s="1">
        <f>'F-2 Off-Site WaterC'' Creation'!AG189</f>
        <v>0</v>
      </c>
    </row>
    <row r="433" spans="1:22" x14ac:dyDescent="0.3">
      <c r="A433" s="757">
        <f>'D-2 Off-Site Habitat Creation'!AF189</f>
        <v>0</v>
      </c>
      <c r="M433" s="757">
        <f>'E-2 Off-Site Hedge Creation'!AD190</f>
        <v>0</v>
      </c>
      <c r="V433" s="1">
        <f>'F-2 Off-Site WaterC'' Creation'!AG190</f>
        <v>0</v>
      </c>
    </row>
    <row r="434" spans="1:22" x14ac:dyDescent="0.3">
      <c r="A434" s="757">
        <f>'D-2 Off-Site Habitat Creation'!AF190</f>
        <v>0</v>
      </c>
      <c r="M434" s="757">
        <f>'E-2 Off-Site Hedge Creation'!AD191</f>
        <v>0</v>
      </c>
      <c r="V434" s="1">
        <f>'F-2 Off-Site WaterC'' Creation'!AG191</f>
        <v>0</v>
      </c>
    </row>
    <row r="435" spans="1:22" x14ac:dyDescent="0.3">
      <c r="A435" s="757">
        <f>'D-2 Off-Site Habitat Creation'!AF191</f>
        <v>0</v>
      </c>
      <c r="M435" s="757">
        <f>'E-2 Off-Site Hedge Creation'!AD192</f>
        <v>0</v>
      </c>
      <c r="V435" s="1">
        <f>'F-2 Off-Site WaterC'' Creation'!AG192</f>
        <v>0</v>
      </c>
    </row>
    <row r="436" spans="1:22" x14ac:dyDescent="0.3">
      <c r="A436" s="757">
        <f>'D-2 Off-Site Habitat Creation'!AF192</f>
        <v>0</v>
      </c>
      <c r="M436" s="757">
        <f>'E-2 Off-Site Hedge Creation'!AD193</f>
        <v>0</v>
      </c>
      <c r="V436" s="1">
        <f>'F-2 Off-Site WaterC'' Creation'!AG193</f>
        <v>0</v>
      </c>
    </row>
    <row r="437" spans="1:22" x14ac:dyDescent="0.3">
      <c r="A437" s="757">
        <f>'D-2 Off-Site Habitat Creation'!AF193</f>
        <v>0</v>
      </c>
      <c r="M437" s="757">
        <f>'E-2 Off-Site Hedge Creation'!AD194</f>
        <v>0</v>
      </c>
      <c r="V437" s="1">
        <f>'F-2 Off-Site WaterC'' Creation'!AG194</f>
        <v>0</v>
      </c>
    </row>
    <row r="438" spans="1:22" x14ac:dyDescent="0.3">
      <c r="A438" s="757">
        <f>'D-2 Off-Site Habitat Creation'!AF194</f>
        <v>0</v>
      </c>
      <c r="M438" s="757">
        <f>'E-2 Off-Site Hedge Creation'!AD195</f>
        <v>0</v>
      </c>
      <c r="V438" s="1">
        <f>'F-2 Off-Site WaterC'' Creation'!AG195</f>
        <v>0</v>
      </c>
    </row>
    <row r="439" spans="1:22" x14ac:dyDescent="0.3">
      <c r="A439" s="757">
        <f>'D-2 Off-Site Habitat Creation'!AF195</f>
        <v>0</v>
      </c>
      <c r="M439" s="757">
        <f>'E-2 Off-Site Hedge Creation'!AD196</f>
        <v>0</v>
      </c>
      <c r="V439" s="1">
        <f>'F-2 Off-Site WaterC'' Creation'!AG196</f>
        <v>0</v>
      </c>
    </row>
    <row r="440" spans="1:22" x14ac:dyDescent="0.3">
      <c r="A440" s="757">
        <f>'D-2 Off-Site Habitat Creation'!AF196</f>
        <v>0</v>
      </c>
      <c r="M440" s="757">
        <f>'E-2 Off-Site Hedge Creation'!AD197</f>
        <v>0</v>
      </c>
      <c r="V440" s="1">
        <f>'F-2 Off-Site WaterC'' Creation'!AG197</f>
        <v>0</v>
      </c>
    </row>
    <row r="441" spans="1:22" x14ac:dyDescent="0.3">
      <c r="A441" s="757">
        <f>'D-2 Off-Site Habitat Creation'!AF197</f>
        <v>0</v>
      </c>
      <c r="M441" s="757">
        <f>'E-2 Off-Site Hedge Creation'!AD198</f>
        <v>0</v>
      </c>
      <c r="V441" s="1">
        <f>'F-2 Off-Site WaterC'' Creation'!AG198</f>
        <v>0</v>
      </c>
    </row>
    <row r="442" spans="1:22" x14ac:dyDescent="0.3">
      <c r="A442" s="757">
        <f>'D-2 Off-Site Habitat Creation'!AF198</f>
        <v>0</v>
      </c>
      <c r="M442" s="757">
        <f>'E-2 Off-Site Hedge Creation'!AD199</f>
        <v>0</v>
      </c>
      <c r="V442" s="1">
        <f>'F-2 Off-Site WaterC'' Creation'!AG199</f>
        <v>0</v>
      </c>
    </row>
    <row r="443" spans="1:22" x14ac:dyDescent="0.3">
      <c r="A443" s="757">
        <f>'D-2 Off-Site Habitat Creation'!AF199</f>
        <v>0</v>
      </c>
      <c r="M443" s="757">
        <f>'E-2 Off-Site Hedge Creation'!AD200</f>
        <v>0</v>
      </c>
      <c r="V443" s="1">
        <f>'F-2 Off-Site WaterC'' Creation'!AG200</f>
        <v>0</v>
      </c>
    </row>
    <row r="444" spans="1:22" x14ac:dyDescent="0.3">
      <c r="A444" s="757">
        <f>'D-2 Off-Site Habitat Creation'!AF200</f>
        <v>0</v>
      </c>
      <c r="M444" s="757">
        <f>'E-2 Off-Site Hedge Creation'!AD201</f>
        <v>0</v>
      </c>
      <c r="V444" s="1">
        <f>'F-2 Off-Site WaterC'' Creation'!AG201</f>
        <v>0</v>
      </c>
    </row>
    <row r="445" spans="1:22" x14ac:dyDescent="0.3">
      <c r="A445" s="757">
        <f>'D-2 Off-Site Habitat Creation'!AF201</f>
        <v>0</v>
      </c>
      <c r="M445" s="757">
        <f>'E-2 Off-Site Hedge Creation'!AD202</f>
        <v>0</v>
      </c>
      <c r="V445" s="1">
        <f>'F-2 Off-Site WaterC'' Creation'!AG202</f>
        <v>0</v>
      </c>
    </row>
    <row r="446" spans="1:22" x14ac:dyDescent="0.3">
      <c r="A446" s="757">
        <f>'D-2 Off-Site Habitat Creation'!AF202</f>
        <v>0</v>
      </c>
      <c r="M446" s="757">
        <f>'E-2 Off-Site Hedge Creation'!AD203</f>
        <v>0</v>
      </c>
      <c r="V446" s="1">
        <f>'F-2 Off-Site WaterC'' Creation'!AG203</f>
        <v>0</v>
      </c>
    </row>
    <row r="447" spans="1:22" x14ac:dyDescent="0.3">
      <c r="A447" s="757">
        <f>'D-2 Off-Site Habitat Creation'!AF203</f>
        <v>0</v>
      </c>
      <c r="M447" s="757">
        <f>'E-2 Off-Site Hedge Creation'!AD204</f>
        <v>0</v>
      </c>
      <c r="V447" s="1">
        <f>'F-2 Off-Site WaterC'' Creation'!AG204</f>
        <v>0</v>
      </c>
    </row>
    <row r="448" spans="1:22" x14ac:dyDescent="0.3">
      <c r="A448" s="757">
        <f>'D-2 Off-Site Habitat Creation'!AF204</f>
        <v>0</v>
      </c>
      <c r="M448" s="757">
        <f>'E-2 Off-Site Hedge Creation'!AD205</f>
        <v>0</v>
      </c>
      <c r="V448" s="1">
        <f>'F-2 Off-Site WaterC'' Creation'!AG205</f>
        <v>0</v>
      </c>
    </row>
    <row r="449" spans="1:22" x14ac:dyDescent="0.3">
      <c r="A449" s="757">
        <f>'D-2 Off-Site Habitat Creation'!AF205</f>
        <v>0</v>
      </c>
      <c r="M449" s="757">
        <f>'E-2 Off-Site Hedge Creation'!AD206</f>
        <v>0</v>
      </c>
      <c r="V449" s="1">
        <f>'F-2 Off-Site WaterC'' Creation'!AG206</f>
        <v>0</v>
      </c>
    </row>
    <row r="450" spans="1:22" x14ac:dyDescent="0.3">
      <c r="A450" s="757">
        <f>'D-2 Off-Site Habitat Creation'!AF206</f>
        <v>0</v>
      </c>
      <c r="M450" s="757">
        <f>'E-2 Off-Site Hedge Creation'!AD207</f>
        <v>0</v>
      </c>
      <c r="V450" s="1">
        <f>'F-2 Off-Site WaterC'' Creation'!AG207</f>
        <v>0</v>
      </c>
    </row>
    <row r="451" spans="1:22" x14ac:dyDescent="0.3">
      <c r="A451" s="757">
        <f>'D-2 Off-Site Habitat Creation'!AF207</f>
        <v>0</v>
      </c>
      <c r="M451" s="757">
        <f>'E-2 Off-Site Hedge Creation'!AD208</f>
        <v>0</v>
      </c>
      <c r="V451" s="1">
        <f>'F-2 Off-Site WaterC'' Creation'!AG208</f>
        <v>0</v>
      </c>
    </row>
    <row r="452" spans="1:22" x14ac:dyDescent="0.3">
      <c r="A452" s="757">
        <f>'D-2 Off-Site Habitat Creation'!AF208</f>
        <v>0</v>
      </c>
      <c r="M452" s="757">
        <f>'E-2 Off-Site Hedge Creation'!AD209</f>
        <v>0</v>
      </c>
      <c r="V452" s="1">
        <f>'F-2 Off-Site WaterC'' Creation'!AG209</f>
        <v>0</v>
      </c>
    </row>
    <row r="453" spans="1:22" x14ac:dyDescent="0.3">
      <c r="A453" s="757">
        <f>'D-2 Off-Site Habitat Creation'!AF209</f>
        <v>0</v>
      </c>
      <c r="M453" s="757">
        <f>'E-2 Off-Site Hedge Creation'!AD210</f>
        <v>0</v>
      </c>
      <c r="V453" s="1">
        <f>'F-2 Off-Site WaterC'' Creation'!AG210</f>
        <v>0</v>
      </c>
    </row>
    <row r="454" spans="1:22" x14ac:dyDescent="0.3">
      <c r="A454" s="757">
        <f>'D-2 Off-Site Habitat Creation'!AF210</f>
        <v>0</v>
      </c>
      <c r="M454" s="757">
        <f>'E-2 Off-Site Hedge Creation'!AD211</f>
        <v>0</v>
      </c>
      <c r="V454" s="1">
        <f>'F-2 Off-Site WaterC'' Creation'!AG211</f>
        <v>0</v>
      </c>
    </row>
    <row r="455" spans="1:22" x14ac:dyDescent="0.3">
      <c r="A455" s="757">
        <f>'D-2 Off-Site Habitat Creation'!AF211</f>
        <v>0</v>
      </c>
      <c r="M455" s="757">
        <f>'E-2 Off-Site Hedge Creation'!AD212</f>
        <v>0</v>
      </c>
      <c r="V455" s="1">
        <f>'F-2 Off-Site WaterC'' Creation'!AG212</f>
        <v>0</v>
      </c>
    </row>
    <row r="456" spans="1:22" x14ac:dyDescent="0.3">
      <c r="A456" s="757">
        <f>'D-2 Off-Site Habitat Creation'!AF212</f>
        <v>0</v>
      </c>
      <c r="M456" s="757">
        <f>'E-2 Off-Site Hedge Creation'!AD213</f>
        <v>0</v>
      </c>
      <c r="V456" s="1">
        <f>'F-2 Off-Site WaterC'' Creation'!AG213</f>
        <v>0</v>
      </c>
    </row>
    <row r="457" spans="1:22" x14ac:dyDescent="0.3">
      <c r="A457" s="757">
        <f>'D-2 Off-Site Habitat Creation'!AF213</f>
        <v>0</v>
      </c>
      <c r="M457" s="757">
        <f>'E-2 Off-Site Hedge Creation'!AD214</f>
        <v>0</v>
      </c>
      <c r="V457" s="1">
        <f>'F-2 Off-Site WaterC'' Creation'!AG214</f>
        <v>0</v>
      </c>
    </row>
    <row r="458" spans="1:22" x14ac:dyDescent="0.3">
      <c r="A458" s="757">
        <f>'D-2 Off-Site Habitat Creation'!AF214</f>
        <v>0</v>
      </c>
      <c r="M458" s="757">
        <f>'E-2 Off-Site Hedge Creation'!AD215</f>
        <v>0</v>
      </c>
      <c r="V458" s="1">
        <f>'F-2 Off-Site WaterC'' Creation'!AG215</f>
        <v>0</v>
      </c>
    </row>
    <row r="459" spans="1:22" x14ac:dyDescent="0.3">
      <c r="A459" s="757">
        <f>'D-2 Off-Site Habitat Creation'!AF215</f>
        <v>0</v>
      </c>
      <c r="M459" s="757">
        <f>'E-2 Off-Site Hedge Creation'!AD216</f>
        <v>0</v>
      </c>
      <c r="V459" s="1">
        <f>'F-2 Off-Site WaterC'' Creation'!AG216</f>
        <v>0</v>
      </c>
    </row>
    <row r="460" spans="1:22" x14ac:dyDescent="0.3">
      <c r="A460" s="757">
        <f>'D-2 Off-Site Habitat Creation'!AF216</f>
        <v>0</v>
      </c>
      <c r="M460" s="757">
        <f>'E-2 Off-Site Hedge Creation'!AD217</f>
        <v>0</v>
      </c>
      <c r="V460" s="1">
        <f>'F-2 Off-Site WaterC'' Creation'!AG217</f>
        <v>0</v>
      </c>
    </row>
    <row r="461" spans="1:22" x14ac:dyDescent="0.3">
      <c r="A461" s="757">
        <f>'D-2 Off-Site Habitat Creation'!AF217</f>
        <v>0</v>
      </c>
      <c r="M461" s="757">
        <f>'E-2 Off-Site Hedge Creation'!AD218</f>
        <v>0</v>
      </c>
      <c r="V461" s="1">
        <f>'F-2 Off-Site WaterC'' Creation'!AG218</f>
        <v>0</v>
      </c>
    </row>
    <row r="462" spans="1:22" x14ac:dyDescent="0.3">
      <c r="A462" s="757">
        <f>'D-2 Off-Site Habitat Creation'!AF218</f>
        <v>0</v>
      </c>
      <c r="M462" s="757">
        <f>'E-2 Off-Site Hedge Creation'!AD219</f>
        <v>0</v>
      </c>
      <c r="V462" s="1">
        <f>'F-2 Off-Site WaterC'' Creation'!AG219</f>
        <v>0</v>
      </c>
    </row>
    <row r="463" spans="1:22" x14ac:dyDescent="0.3">
      <c r="A463" s="757">
        <f>'D-2 Off-Site Habitat Creation'!AF219</f>
        <v>0</v>
      </c>
      <c r="M463" s="757">
        <f>'E-2 Off-Site Hedge Creation'!AD220</f>
        <v>0</v>
      </c>
      <c r="V463" s="1">
        <f>'F-2 Off-Site WaterC'' Creation'!AG220</f>
        <v>0</v>
      </c>
    </row>
    <row r="464" spans="1:22" x14ac:dyDescent="0.3">
      <c r="A464" s="757">
        <f>'D-2 Off-Site Habitat Creation'!AF220</f>
        <v>0</v>
      </c>
      <c r="M464" s="757">
        <f>'E-2 Off-Site Hedge Creation'!AD221</f>
        <v>0</v>
      </c>
      <c r="V464" s="1">
        <f>'F-2 Off-Site WaterC'' Creation'!AG221</f>
        <v>0</v>
      </c>
    </row>
    <row r="465" spans="1:22" x14ac:dyDescent="0.3">
      <c r="A465" s="757">
        <f>'D-2 Off-Site Habitat Creation'!AF221</f>
        <v>0</v>
      </c>
      <c r="M465" s="757">
        <f>'E-2 Off-Site Hedge Creation'!AD222</f>
        <v>0</v>
      </c>
      <c r="V465" s="1">
        <f>'F-2 Off-Site WaterC'' Creation'!AG222</f>
        <v>0</v>
      </c>
    </row>
    <row r="466" spans="1:22" x14ac:dyDescent="0.3">
      <c r="A466" s="757">
        <f>'D-2 Off-Site Habitat Creation'!AF222</f>
        <v>0</v>
      </c>
      <c r="M466" s="757">
        <f>'E-2 Off-Site Hedge Creation'!AD223</f>
        <v>0</v>
      </c>
      <c r="V466" s="1">
        <f>'F-2 Off-Site WaterC'' Creation'!AG223</f>
        <v>0</v>
      </c>
    </row>
    <row r="467" spans="1:22" x14ac:dyDescent="0.3">
      <c r="A467" s="757">
        <f>'D-2 Off-Site Habitat Creation'!AF223</f>
        <v>0</v>
      </c>
      <c r="M467" s="757">
        <f>'E-2 Off-Site Hedge Creation'!AD224</f>
        <v>0</v>
      </c>
      <c r="V467" s="1">
        <f>'F-2 Off-Site WaterC'' Creation'!AG224</f>
        <v>0</v>
      </c>
    </row>
    <row r="468" spans="1:22" x14ac:dyDescent="0.3">
      <c r="A468" s="757">
        <f>'D-2 Off-Site Habitat Creation'!AF224</f>
        <v>0</v>
      </c>
      <c r="M468" s="757">
        <f>'E-2 Off-Site Hedge Creation'!AD225</f>
        <v>0</v>
      </c>
      <c r="V468" s="1">
        <f>'F-2 Off-Site WaterC'' Creation'!AG225</f>
        <v>0</v>
      </c>
    </row>
    <row r="469" spans="1:22" x14ac:dyDescent="0.3">
      <c r="A469" s="757">
        <f>'D-2 Off-Site Habitat Creation'!AF225</f>
        <v>0</v>
      </c>
      <c r="M469" s="757">
        <f>'E-2 Off-Site Hedge Creation'!AD226</f>
        <v>0</v>
      </c>
      <c r="V469" s="1">
        <f>'F-2 Off-Site WaterC'' Creation'!AG226</f>
        <v>0</v>
      </c>
    </row>
    <row r="470" spans="1:22" x14ac:dyDescent="0.3">
      <c r="A470" s="757">
        <f>'D-2 Off-Site Habitat Creation'!AF226</f>
        <v>0</v>
      </c>
      <c r="M470" s="757">
        <f>'E-2 Off-Site Hedge Creation'!AD227</f>
        <v>0</v>
      </c>
      <c r="V470" s="1">
        <f>'F-2 Off-Site WaterC'' Creation'!AG227</f>
        <v>0</v>
      </c>
    </row>
    <row r="471" spans="1:22" x14ac:dyDescent="0.3">
      <c r="A471" s="757">
        <f>'D-2 Off-Site Habitat Creation'!AF227</f>
        <v>0</v>
      </c>
      <c r="M471" s="757">
        <f>'E-2 Off-Site Hedge Creation'!AD228</f>
        <v>0</v>
      </c>
      <c r="V471" s="1">
        <f>'F-2 Off-Site WaterC'' Creation'!AG228</f>
        <v>0</v>
      </c>
    </row>
    <row r="472" spans="1:22" x14ac:dyDescent="0.3">
      <c r="A472" s="757">
        <f>'D-2 Off-Site Habitat Creation'!AF228</f>
        <v>0</v>
      </c>
      <c r="M472" s="757">
        <f>'E-2 Off-Site Hedge Creation'!AD229</f>
        <v>0</v>
      </c>
      <c r="V472" s="1">
        <f>'F-2 Off-Site WaterC'' Creation'!AG229</f>
        <v>0</v>
      </c>
    </row>
    <row r="473" spans="1:22" x14ac:dyDescent="0.3">
      <c r="A473" s="757">
        <f>'D-2 Off-Site Habitat Creation'!AF229</f>
        <v>0</v>
      </c>
      <c r="M473" s="757">
        <f>'E-2 Off-Site Hedge Creation'!AD230</f>
        <v>0</v>
      </c>
      <c r="V473" s="1">
        <f>'F-2 Off-Site WaterC'' Creation'!AG230</f>
        <v>0</v>
      </c>
    </row>
    <row r="474" spans="1:22" x14ac:dyDescent="0.3">
      <c r="A474" s="757">
        <f>'D-2 Off-Site Habitat Creation'!AF230</f>
        <v>0</v>
      </c>
      <c r="M474" s="757">
        <f>'E-2 Off-Site Hedge Creation'!AD231</f>
        <v>0</v>
      </c>
      <c r="V474" s="1">
        <f>'F-2 Off-Site WaterC'' Creation'!AG231</f>
        <v>0</v>
      </c>
    </row>
    <row r="475" spans="1:22" x14ac:dyDescent="0.3">
      <c r="A475" s="757">
        <f>'D-2 Off-Site Habitat Creation'!AF231</f>
        <v>0</v>
      </c>
      <c r="M475" s="757">
        <f>'E-2 Off-Site Hedge Creation'!AD232</f>
        <v>0</v>
      </c>
      <c r="V475" s="1">
        <f>'F-2 Off-Site WaterC'' Creation'!AG232</f>
        <v>0</v>
      </c>
    </row>
    <row r="476" spans="1:22" x14ac:dyDescent="0.3">
      <c r="A476" s="757">
        <f>'D-2 Off-Site Habitat Creation'!AF232</f>
        <v>0</v>
      </c>
      <c r="M476" s="757">
        <f>'E-2 Off-Site Hedge Creation'!AD233</f>
        <v>0</v>
      </c>
      <c r="V476" s="1">
        <f>'F-2 Off-Site WaterC'' Creation'!AG233</f>
        <v>0</v>
      </c>
    </row>
    <row r="477" spans="1:22" x14ac:dyDescent="0.3">
      <c r="A477" s="757">
        <f>'D-2 Off-Site Habitat Creation'!AF233</f>
        <v>0</v>
      </c>
      <c r="M477" s="757">
        <f>'E-2 Off-Site Hedge Creation'!AD234</f>
        <v>0</v>
      </c>
      <c r="V477" s="1">
        <f>'F-2 Off-Site WaterC'' Creation'!AG234</f>
        <v>0</v>
      </c>
    </row>
    <row r="478" spans="1:22" x14ac:dyDescent="0.3">
      <c r="A478" s="757">
        <f>'D-2 Off-Site Habitat Creation'!AF234</f>
        <v>0</v>
      </c>
      <c r="M478" s="757">
        <f>'E-2 Off-Site Hedge Creation'!AD235</f>
        <v>0</v>
      </c>
      <c r="V478" s="1">
        <f>'F-2 Off-Site WaterC'' Creation'!AG235</f>
        <v>0</v>
      </c>
    </row>
    <row r="479" spans="1:22" x14ac:dyDescent="0.3">
      <c r="A479" s="757">
        <f>'D-2 Off-Site Habitat Creation'!AF235</f>
        <v>0</v>
      </c>
      <c r="M479" s="757">
        <f>'E-2 Off-Site Hedge Creation'!AD236</f>
        <v>0</v>
      </c>
      <c r="V479" s="1">
        <f>'F-2 Off-Site WaterC'' Creation'!AG236</f>
        <v>0</v>
      </c>
    </row>
    <row r="480" spans="1:22" x14ac:dyDescent="0.3">
      <c r="A480" s="757">
        <f>'D-2 Off-Site Habitat Creation'!AF236</f>
        <v>0</v>
      </c>
      <c r="M480" s="757">
        <f>'E-2 Off-Site Hedge Creation'!AD237</f>
        <v>0</v>
      </c>
      <c r="V480" s="1">
        <f>'F-2 Off-Site WaterC'' Creation'!AG237</f>
        <v>0</v>
      </c>
    </row>
    <row r="481" spans="1:22" x14ac:dyDescent="0.3">
      <c r="A481" s="757">
        <f>'D-2 Off-Site Habitat Creation'!AF237</f>
        <v>0</v>
      </c>
      <c r="M481" s="757">
        <f>'E-2 Off-Site Hedge Creation'!AD238</f>
        <v>0</v>
      </c>
      <c r="V481" s="1">
        <f>'F-2 Off-Site WaterC'' Creation'!AG238</f>
        <v>0</v>
      </c>
    </row>
    <row r="482" spans="1:22" x14ac:dyDescent="0.3">
      <c r="A482" s="757">
        <f>'D-2 Off-Site Habitat Creation'!AF238</f>
        <v>0</v>
      </c>
      <c r="M482" s="757">
        <f>'E-2 Off-Site Hedge Creation'!AD239</f>
        <v>0</v>
      </c>
      <c r="V482" s="1">
        <f>'F-2 Off-Site WaterC'' Creation'!AG239</f>
        <v>0</v>
      </c>
    </row>
    <row r="483" spans="1:22" x14ac:dyDescent="0.3">
      <c r="A483" s="757">
        <f>'D-2 Off-Site Habitat Creation'!AF239</f>
        <v>0</v>
      </c>
      <c r="M483" s="757">
        <f>'E-2 Off-Site Hedge Creation'!AD240</f>
        <v>0</v>
      </c>
      <c r="V483" s="1">
        <f>'F-2 Off-Site WaterC'' Creation'!AG240</f>
        <v>0</v>
      </c>
    </row>
    <row r="484" spans="1:22" x14ac:dyDescent="0.3">
      <c r="A484" s="757">
        <f>'D-2 Off-Site Habitat Creation'!AF240</f>
        <v>0</v>
      </c>
      <c r="M484" s="757">
        <f>'E-2 Off-Site Hedge Creation'!AD241</f>
        <v>0</v>
      </c>
      <c r="V484" s="1">
        <f>'F-2 Off-Site WaterC'' Creation'!AG241</f>
        <v>0</v>
      </c>
    </row>
    <row r="485" spans="1:22" x14ac:dyDescent="0.3">
      <c r="A485" s="757">
        <f>'D-2 Off-Site Habitat Creation'!AF241</f>
        <v>0</v>
      </c>
      <c r="M485" s="757">
        <f>'E-2 Off-Site Hedge Creation'!AD242</f>
        <v>0</v>
      </c>
      <c r="V485" s="1">
        <f>'F-2 Off-Site WaterC'' Creation'!AG242</f>
        <v>0</v>
      </c>
    </row>
    <row r="486" spans="1:22" x14ac:dyDescent="0.3">
      <c r="A486" s="757">
        <f>'D-2 Off-Site Habitat Creation'!AF242</f>
        <v>0</v>
      </c>
      <c r="M486" s="757">
        <f>'E-2 Off-Site Hedge Creation'!AD243</f>
        <v>0</v>
      </c>
      <c r="V486" s="1">
        <f>'F-2 Off-Site WaterC'' Creation'!AG243</f>
        <v>0</v>
      </c>
    </row>
    <row r="487" spans="1:22" x14ac:dyDescent="0.3">
      <c r="A487" s="757">
        <f>'D-2 Off-Site Habitat Creation'!AF243</f>
        <v>0</v>
      </c>
      <c r="M487" s="757">
        <f>'E-2 Off-Site Hedge Creation'!AD244</f>
        <v>0</v>
      </c>
      <c r="V487" s="1">
        <f>'F-2 Off-Site WaterC'' Creation'!AG244</f>
        <v>0</v>
      </c>
    </row>
    <row r="488" spans="1:22" x14ac:dyDescent="0.3">
      <c r="A488" s="757">
        <f>'D-2 Off-Site Habitat Creation'!AF244</f>
        <v>0</v>
      </c>
      <c r="M488" s="757">
        <f>'E-2 Off-Site Hedge Creation'!AD245</f>
        <v>0</v>
      </c>
      <c r="V488" s="1">
        <f>'F-2 Off-Site WaterC'' Creation'!AG245</f>
        <v>0</v>
      </c>
    </row>
    <row r="489" spans="1:22" x14ac:dyDescent="0.3">
      <c r="A489" s="757">
        <f>'D-2 Off-Site Habitat Creation'!AF245</f>
        <v>0</v>
      </c>
      <c r="M489" s="757">
        <f>'E-2 Off-Site Hedge Creation'!AD246</f>
        <v>0</v>
      </c>
      <c r="V489" s="1">
        <f>'F-2 Off-Site WaterC'' Creation'!AG246</f>
        <v>0</v>
      </c>
    </row>
    <row r="490" spans="1:22" x14ac:dyDescent="0.3">
      <c r="A490" s="757">
        <f>'D-2 Off-Site Habitat Creation'!AF246</f>
        <v>0</v>
      </c>
      <c r="M490" s="757">
        <f>'E-2 Off-Site Hedge Creation'!AD247</f>
        <v>0</v>
      </c>
      <c r="V490" s="1">
        <f>'F-2 Off-Site WaterC'' Creation'!AG247</f>
        <v>0</v>
      </c>
    </row>
    <row r="491" spans="1:22" x14ac:dyDescent="0.3">
      <c r="A491" s="757">
        <f>'D-2 Off-Site Habitat Creation'!AF247</f>
        <v>0</v>
      </c>
      <c r="M491" s="757">
        <f>'E-2 Off-Site Hedge Creation'!AD248</f>
        <v>0</v>
      </c>
      <c r="V491" s="1">
        <f>'F-2 Off-Site WaterC'' Creation'!AG248</f>
        <v>0</v>
      </c>
    </row>
    <row r="492" spans="1:22" x14ac:dyDescent="0.3">
      <c r="A492" s="757">
        <f>'D-2 Off-Site Habitat Creation'!AF248</f>
        <v>0</v>
      </c>
      <c r="M492" s="757">
        <f>'E-2 Off-Site Hedge Creation'!AD249</f>
        <v>0</v>
      </c>
      <c r="V492" s="1">
        <f>'F-2 Off-Site WaterC'' Creation'!AG249</f>
        <v>0</v>
      </c>
    </row>
    <row r="493" spans="1:22" x14ac:dyDescent="0.3">
      <c r="A493" s="757">
        <f>'D-2 Off-Site Habitat Creation'!AF249</f>
        <v>0</v>
      </c>
      <c r="M493" s="757">
        <f>'E-2 Off-Site Hedge Creation'!AD250</f>
        <v>0</v>
      </c>
      <c r="V493" s="1">
        <f>'F-2 Off-Site WaterC'' Creation'!AG250</f>
        <v>0</v>
      </c>
    </row>
    <row r="494" spans="1:22" x14ac:dyDescent="0.3">
      <c r="A494" s="757">
        <f>'D-2 Off-Site Habitat Creation'!AF250</f>
        <v>0</v>
      </c>
      <c r="M494" s="757">
        <f>'E-2 Off-Site Hedge Creation'!AD251</f>
        <v>0</v>
      </c>
      <c r="V494" s="1">
        <f>'F-2 Off-Site WaterC'' Creation'!AG251</f>
        <v>0</v>
      </c>
    </row>
    <row r="495" spans="1:22" x14ac:dyDescent="0.3">
      <c r="A495" s="757">
        <f>'D-2 Off-Site Habitat Creation'!AF251</f>
        <v>0</v>
      </c>
      <c r="M495" s="757">
        <f>'E-2 Off-Site Hedge Creation'!AD252</f>
        <v>0</v>
      </c>
      <c r="V495" s="1">
        <f>'F-2 Off-Site WaterC'' Creation'!AG252</f>
        <v>0</v>
      </c>
    </row>
    <row r="496" spans="1:22" x14ac:dyDescent="0.3">
      <c r="A496" s="757">
        <f>'D-2 Off-Site Habitat Creation'!AF252</f>
        <v>0</v>
      </c>
      <c r="M496" s="757">
        <f>'E-2 Off-Site Hedge Creation'!AD253</f>
        <v>0</v>
      </c>
      <c r="V496" s="1">
        <f>'F-2 Off-Site WaterC'' Creation'!AG253</f>
        <v>0</v>
      </c>
    </row>
    <row r="497" spans="1:22" x14ac:dyDescent="0.3">
      <c r="A497" s="757">
        <f>'D-2 Off-Site Habitat Creation'!AF253</f>
        <v>0</v>
      </c>
      <c r="M497" s="757">
        <f>'E-2 Off-Site Hedge Creation'!AD254</f>
        <v>0</v>
      </c>
      <c r="V497" s="1">
        <f>'F-2 Off-Site WaterC'' Creation'!AG254</f>
        <v>0</v>
      </c>
    </row>
    <row r="498" spans="1:22" x14ac:dyDescent="0.3">
      <c r="A498" s="757">
        <f>'D-2 Off-Site Habitat Creation'!AF254</f>
        <v>0</v>
      </c>
      <c r="M498" s="757">
        <f>'E-2 Off-Site Hedge Creation'!AD255</f>
        <v>0</v>
      </c>
      <c r="V498" s="1">
        <f>'F-2 Off-Site WaterC'' Creation'!AG255</f>
        <v>0</v>
      </c>
    </row>
    <row r="499" spans="1:22" x14ac:dyDescent="0.3">
      <c r="A499" s="757">
        <f>'D-2 Off-Site Habitat Creation'!AF255</f>
        <v>0</v>
      </c>
      <c r="M499" s="757">
        <f>'E-2 Off-Site Hedge Creation'!AD256</f>
        <v>0</v>
      </c>
      <c r="V499" s="1">
        <f>'F-2 Off-Site WaterC'' Creation'!AG256</f>
        <v>0</v>
      </c>
    </row>
    <row r="500" spans="1:22" x14ac:dyDescent="0.3">
      <c r="A500" s="757">
        <f>'D-2 Off-Site Habitat Creation'!AF256</f>
        <v>0</v>
      </c>
      <c r="M500" s="757">
        <f>'E-3 Off-Site Hedge Enhancement'!AO12</f>
        <v>0</v>
      </c>
      <c r="V500" s="1">
        <f>'F-2 Off-Site WaterC'' Creation'!AG257</f>
        <v>0</v>
      </c>
    </row>
    <row r="501" spans="1:22" x14ac:dyDescent="0.3">
      <c r="A501" s="757">
        <f>'D-3 Off-Site Habitat Enhancment'!AU12</f>
        <v>0</v>
      </c>
      <c r="M501" s="757">
        <f>'E-3 Off-Site Hedge Enhancement'!AO13</f>
        <v>0</v>
      </c>
      <c r="V501" s="1">
        <f>'F-2 Off-Site WaterC'' Creation'!AG258</f>
        <v>0</v>
      </c>
    </row>
    <row r="502" spans="1:22" x14ac:dyDescent="0.3">
      <c r="A502" s="757">
        <f>'D-3 Off-Site Habitat Enhancment'!AU13</f>
        <v>0</v>
      </c>
      <c r="M502" s="757">
        <f>'E-3 Off-Site Hedge Enhancement'!AO14</f>
        <v>0</v>
      </c>
      <c r="V502" s="1">
        <f>'F-2 Off-Site WaterC'' Creation'!AG259</f>
        <v>0</v>
      </c>
    </row>
    <row r="503" spans="1:22" x14ac:dyDescent="0.3">
      <c r="A503" s="757">
        <f>'D-3 Off-Site Habitat Enhancment'!AU14</f>
        <v>0</v>
      </c>
      <c r="M503" s="757">
        <f>'E-3 Off-Site Hedge Enhancement'!AO15</f>
        <v>0</v>
      </c>
      <c r="V503" s="1">
        <f>'F-3 Off-Site WaterC Enhancement'!AT12</f>
        <v>0</v>
      </c>
    </row>
    <row r="504" spans="1:22" x14ac:dyDescent="0.3">
      <c r="A504" s="757">
        <f>'D-3 Off-Site Habitat Enhancment'!AU15</f>
        <v>0</v>
      </c>
      <c r="M504" s="757">
        <f>'E-3 Off-Site Hedge Enhancement'!AO16</f>
        <v>0</v>
      </c>
      <c r="V504" s="1">
        <f>'F-3 Off-Site WaterC Enhancement'!AT13</f>
        <v>0</v>
      </c>
    </row>
    <row r="505" spans="1:22" x14ac:dyDescent="0.3">
      <c r="A505" s="757">
        <f>'D-3 Off-Site Habitat Enhancment'!AU16</f>
        <v>0</v>
      </c>
      <c r="M505" s="757">
        <f>'E-3 Off-Site Hedge Enhancement'!AO17</f>
        <v>0</v>
      </c>
      <c r="V505" s="1">
        <f>'F-3 Off-Site WaterC Enhancement'!AT14</f>
        <v>0</v>
      </c>
    </row>
    <row r="506" spans="1:22" x14ac:dyDescent="0.3">
      <c r="A506" s="757">
        <f>'D-3 Off-Site Habitat Enhancment'!AU17</f>
        <v>0</v>
      </c>
      <c r="M506" s="757">
        <f>'E-3 Off-Site Hedge Enhancement'!AO18</f>
        <v>0</v>
      </c>
      <c r="V506" s="1">
        <f>'F-3 Off-Site WaterC Enhancement'!AT15</f>
        <v>0</v>
      </c>
    </row>
    <row r="507" spans="1:22" x14ac:dyDescent="0.3">
      <c r="A507" s="757">
        <f>'D-3 Off-Site Habitat Enhancment'!AU18</f>
        <v>0</v>
      </c>
      <c r="M507" s="757">
        <f>'E-3 Off-Site Hedge Enhancement'!AO19</f>
        <v>0</v>
      </c>
      <c r="V507" s="1">
        <f>'F-3 Off-Site WaterC Enhancement'!AT16</f>
        <v>0</v>
      </c>
    </row>
    <row r="508" spans="1:22" x14ac:dyDescent="0.3">
      <c r="A508" s="757">
        <f>'D-3 Off-Site Habitat Enhancment'!AU19</f>
        <v>0</v>
      </c>
      <c r="M508" s="757">
        <f>'E-3 Off-Site Hedge Enhancement'!AO20</f>
        <v>0</v>
      </c>
      <c r="V508" s="1">
        <f>'F-3 Off-Site WaterC Enhancement'!AT17</f>
        <v>0</v>
      </c>
    </row>
    <row r="509" spans="1:22" x14ac:dyDescent="0.3">
      <c r="A509" s="757">
        <f>'D-3 Off-Site Habitat Enhancment'!AU20</f>
        <v>0</v>
      </c>
      <c r="M509" s="757">
        <f>'E-3 Off-Site Hedge Enhancement'!AO21</f>
        <v>0</v>
      </c>
      <c r="V509" s="1">
        <f>'F-3 Off-Site WaterC Enhancement'!AT18</f>
        <v>0</v>
      </c>
    </row>
    <row r="510" spans="1:22" x14ac:dyDescent="0.3">
      <c r="A510" s="757">
        <f>'D-3 Off-Site Habitat Enhancment'!AU21</f>
        <v>0</v>
      </c>
      <c r="M510" s="757">
        <f>'E-3 Off-Site Hedge Enhancement'!AO22</f>
        <v>0</v>
      </c>
      <c r="V510" s="1">
        <f>'F-3 Off-Site WaterC Enhancement'!AT19</f>
        <v>0</v>
      </c>
    </row>
    <row r="511" spans="1:22" x14ac:dyDescent="0.3">
      <c r="A511" s="757">
        <f>'D-3 Off-Site Habitat Enhancment'!AU22</f>
        <v>0</v>
      </c>
      <c r="M511" s="757">
        <f>'E-3 Off-Site Hedge Enhancement'!AO23</f>
        <v>0</v>
      </c>
      <c r="V511" s="1">
        <f>'F-3 Off-Site WaterC Enhancement'!AT20</f>
        <v>0</v>
      </c>
    </row>
    <row r="512" spans="1:22" x14ac:dyDescent="0.3">
      <c r="A512" s="757">
        <f>'D-3 Off-Site Habitat Enhancment'!AU23</f>
        <v>0</v>
      </c>
      <c r="M512" s="757">
        <f>'E-3 Off-Site Hedge Enhancement'!AO24</f>
        <v>0</v>
      </c>
      <c r="V512" s="1">
        <f>'F-3 Off-Site WaterC Enhancement'!AT21</f>
        <v>0</v>
      </c>
    </row>
    <row r="513" spans="1:22" x14ac:dyDescent="0.3">
      <c r="A513" s="757">
        <f>'D-3 Off-Site Habitat Enhancment'!AU24</f>
        <v>0</v>
      </c>
      <c r="M513" s="757">
        <f>'E-3 Off-Site Hedge Enhancement'!AO25</f>
        <v>0</v>
      </c>
      <c r="V513" s="1">
        <f>'F-3 Off-Site WaterC Enhancement'!AT22</f>
        <v>0</v>
      </c>
    </row>
    <row r="514" spans="1:22" x14ac:dyDescent="0.3">
      <c r="A514" s="757">
        <f>'D-3 Off-Site Habitat Enhancment'!AU25</f>
        <v>0</v>
      </c>
      <c r="M514" s="757">
        <f>'E-3 Off-Site Hedge Enhancement'!AO26</f>
        <v>0</v>
      </c>
      <c r="V514" s="1">
        <f>'F-3 Off-Site WaterC Enhancement'!AT23</f>
        <v>0</v>
      </c>
    </row>
    <row r="515" spans="1:22" x14ac:dyDescent="0.3">
      <c r="A515" s="757">
        <f>'D-3 Off-Site Habitat Enhancment'!AU26</f>
        <v>0</v>
      </c>
      <c r="M515" s="757">
        <f>'E-3 Off-Site Hedge Enhancement'!AO27</f>
        <v>0</v>
      </c>
      <c r="V515" s="1">
        <f>'F-3 Off-Site WaterC Enhancement'!AT24</f>
        <v>0</v>
      </c>
    </row>
    <row r="516" spans="1:22" x14ac:dyDescent="0.3">
      <c r="A516" s="757">
        <f>'D-3 Off-Site Habitat Enhancment'!AU27</f>
        <v>0</v>
      </c>
      <c r="M516" s="757">
        <f>'E-3 Off-Site Hedge Enhancement'!AO28</f>
        <v>0</v>
      </c>
      <c r="V516" s="1">
        <f>'F-3 Off-Site WaterC Enhancement'!AT25</f>
        <v>0</v>
      </c>
    </row>
    <row r="517" spans="1:22" x14ac:dyDescent="0.3">
      <c r="A517" s="757">
        <f>'D-3 Off-Site Habitat Enhancment'!AU28</f>
        <v>0</v>
      </c>
      <c r="M517" s="757">
        <f>'E-3 Off-Site Hedge Enhancement'!AO29</f>
        <v>0</v>
      </c>
      <c r="V517" s="1">
        <f>'F-3 Off-Site WaterC Enhancement'!AT26</f>
        <v>0</v>
      </c>
    </row>
    <row r="518" spans="1:22" x14ac:dyDescent="0.3">
      <c r="A518" s="757">
        <f>'D-3 Off-Site Habitat Enhancment'!AU29</f>
        <v>0</v>
      </c>
      <c r="M518" s="757">
        <f>'E-3 Off-Site Hedge Enhancement'!AO30</f>
        <v>0</v>
      </c>
      <c r="V518" s="1">
        <f>'F-3 Off-Site WaterC Enhancement'!AT27</f>
        <v>0</v>
      </c>
    </row>
    <row r="519" spans="1:22" x14ac:dyDescent="0.3">
      <c r="A519" s="757">
        <f>'D-3 Off-Site Habitat Enhancment'!AU30</f>
        <v>0</v>
      </c>
      <c r="M519" s="757">
        <f>'E-3 Off-Site Hedge Enhancement'!AO31</f>
        <v>0</v>
      </c>
      <c r="V519" s="1">
        <f>'F-3 Off-Site WaterC Enhancement'!AT28</f>
        <v>0</v>
      </c>
    </row>
    <row r="520" spans="1:22" x14ac:dyDescent="0.3">
      <c r="A520" s="757">
        <f>'D-3 Off-Site Habitat Enhancment'!AU31</f>
        <v>0</v>
      </c>
      <c r="M520" s="757">
        <f>'E-3 Off-Site Hedge Enhancement'!AO32</f>
        <v>0</v>
      </c>
      <c r="V520" s="1">
        <f>'F-3 Off-Site WaterC Enhancement'!AT29</f>
        <v>0</v>
      </c>
    </row>
    <row r="521" spans="1:22" x14ac:dyDescent="0.3">
      <c r="A521" s="757">
        <f>'D-3 Off-Site Habitat Enhancment'!AU32</f>
        <v>0</v>
      </c>
      <c r="M521" s="757">
        <f>'E-3 Off-Site Hedge Enhancement'!AO33</f>
        <v>0</v>
      </c>
      <c r="V521" s="1">
        <f>'F-3 Off-Site WaterC Enhancement'!AT30</f>
        <v>0</v>
      </c>
    </row>
    <row r="522" spans="1:22" x14ac:dyDescent="0.3">
      <c r="A522" s="757">
        <f>'D-3 Off-Site Habitat Enhancment'!AU33</f>
        <v>0</v>
      </c>
      <c r="M522" s="757">
        <f>'E-3 Off-Site Hedge Enhancement'!AO34</f>
        <v>0</v>
      </c>
      <c r="V522" s="1">
        <f>'F-3 Off-Site WaterC Enhancement'!AT31</f>
        <v>0</v>
      </c>
    </row>
    <row r="523" spans="1:22" x14ac:dyDescent="0.3">
      <c r="A523" s="757">
        <f>'D-3 Off-Site Habitat Enhancment'!AU34</f>
        <v>0</v>
      </c>
      <c r="M523" s="757">
        <f>'E-3 Off-Site Hedge Enhancement'!AO35</f>
        <v>0</v>
      </c>
      <c r="V523" s="1">
        <f>'F-3 Off-Site WaterC Enhancement'!AT32</f>
        <v>0</v>
      </c>
    </row>
    <row r="524" spans="1:22" x14ac:dyDescent="0.3">
      <c r="A524" s="757">
        <f>'D-3 Off-Site Habitat Enhancment'!AU35</f>
        <v>0</v>
      </c>
      <c r="M524" s="757">
        <f>'E-3 Off-Site Hedge Enhancement'!AO36</f>
        <v>0</v>
      </c>
      <c r="V524" s="1">
        <f>'F-3 Off-Site WaterC Enhancement'!AT33</f>
        <v>0</v>
      </c>
    </row>
    <row r="525" spans="1:22" x14ac:dyDescent="0.3">
      <c r="A525" s="757">
        <f>'D-3 Off-Site Habitat Enhancment'!AU36</f>
        <v>0</v>
      </c>
      <c r="M525" s="757">
        <f>'E-3 Off-Site Hedge Enhancement'!AO37</f>
        <v>0</v>
      </c>
      <c r="V525" s="1">
        <f>'F-3 Off-Site WaterC Enhancement'!AT34</f>
        <v>0</v>
      </c>
    </row>
    <row r="526" spans="1:22" x14ac:dyDescent="0.3">
      <c r="A526" s="757">
        <f>'D-3 Off-Site Habitat Enhancment'!AU37</f>
        <v>0</v>
      </c>
      <c r="M526" s="757">
        <f>'E-3 Off-Site Hedge Enhancement'!AO38</f>
        <v>0</v>
      </c>
      <c r="V526" s="1">
        <f>'F-3 Off-Site WaterC Enhancement'!AT35</f>
        <v>0</v>
      </c>
    </row>
    <row r="527" spans="1:22" x14ac:dyDescent="0.3">
      <c r="A527" s="757">
        <f>'D-3 Off-Site Habitat Enhancment'!AU38</f>
        <v>0</v>
      </c>
      <c r="M527" s="757">
        <f>'E-3 Off-Site Hedge Enhancement'!AO39</f>
        <v>0</v>
      </c>
      <c r="V527" s="1">
        <f>'F-3 Off-Site WaterC Enhancement'!AT36</f>
        <v>0</v>
      </c>
    </row>
    <row r="528" spans="1:22" x14ac:dyDescent="0.3">
      <c r="A528" s="757">
        <f>'D-3 Off-Site Habitat Enhancment'!AU39</f>
        <v>0</v>
      </c>
      <c r="M528" s="757">
        <f>'E-3 Off-Site Hedge Enhancement'!AO40</f>
        <v>0</v>
      </c>
      <c r="V528" s="1">
        <f>'F-3 Off-Site WaterC Enhancement'!AT37</f>
        <v>0</v>
      </c>
    </row>
    <row r="529" spans="1:22" x14ac:dyDescent="0.3">
      <c r="A529" s="757">
        <f>'D-3 Off-Site Habitat Enhancment'!AU40</f>
        <v>0</v>
      </c>
      <c r="M529" s="757">
        <f>'E-3 Off-Site Hedge Enhancement'!AO41</f>
        <v>0</v>
      </c>
      <c r="V529" s="1">
        <f>'F-3 Off-Site WaterC Enhancement'!AT38</f>
        <v>0</v>
      </c>
    </row>
    <row r="530" spans="1:22" x14ac:dyDescent="0.3">
      <c r="A530" s="757">
        <f>'D-3 Off-Site Habitat Enhancment'!AU41</f>
        <v>0</v>
      </c>
      <c r="M530" s="757">
        <f>'E-3 Off-Site Hedge Enhancement'!AO42</f>
        <v>0</v>
      </c>
      <c r="V530" s="1">
        <f>'F-3 Off-Site WaterC Enhancement'!AT39</f>
        <v>0</v>
      </c>
    </row>
    <row r="531" spans="1:22" x14ac:dyDescent="0.3">
      <c r="A531" s="757">
        <f>'D-3 Off-Site Habitat Enhancment'!AU42</f>
        <v>0</v>
      </c>
      <c r="M531" s="757">
        <f>'E-3 Off-Site Hedge Enhancement'!AO43</f>
        <v>0</v>
      </c>
      <c r="V531" s="1">
        <f>'F-3 Off-Site WaterC Enhancement'!AT40</f>
        <v>0</v>
      </c>
    </row>
    <row r="532" spans="1:22" x14ac:dyDescent="0.3">
      <c r="A532" s="757">
        <f>'D-3 Off-Site Habitat Enhancment'!AU43</f>
        <v>0</v>
      </c>
      <c r="M532" s="757">
        <f>'E-3 Off-Site Hedge Enhancement'!AO44</f>
        <v>0</v>
      </c>
      <c r="V532" s="1">
        <f>'F-3 Off-Site WaterC Enhancement'!AT41</f>
        <v>0</v>
      </c>
    </row>
    <row r="533" spans="1:22" x14ac:dyDescent="0.3">
      <c r="A533" s="757">
        <f>'D-3 Off-Site Habitat Enhancment'!AU44</f>
        <v>0</v>
      </c>
      <c r="M533" s="757">
        <f>'E-3 Off-Site Hedge Enhancement'!AO45</f>
        <v>0</v>
      </c>
      <c r="V533" s="1">
        <f>'F-3 Off-Site WaterC Enhancement'!AT42</f>
        <v>0</v>
      </c>
    </row>
    <row r="534" spans="1:22" x14ac:dyDescent="0.3">
      <c r="A534" s="757">
        <f>'D-3 Off-Site Habitat Enhancment'!AU45</f>
        <v>0</v>
      </c>
      <c r="M534" s="757">
        <f>'E-3 Off-Site Hedge Enhancement'!AO46</f>
        <v>0</v>
      </c>
      <c r="V534" s="1">
        <f>'F-3 Off-Site WaterC Enhancement'!AT43</f>
        <v>0</v>
      </c>
    </row>
    <row r="535" spans="1:22" x14ac:dyDescent="0.3">
      <c r="A535" s="757">
        <f>'D-3 Off-Site Habitat Enhancment'!AU46</f>
        <v>0</v>
      </c>
      <c r="M535" s="757">
        <f>'E-3 Off-Site Hedge Enhancement'!AO47</f>
        <v>0</v>
      </c>
      <c r="V535" s="1">
        <f>'F-3 Off-Site WaterC Enhancement'!AT44</f>
        <v>0</v>
      </c>
    </row>
    <row r="536" spans="1:22" x14ac:dyDescent="0.3">
      <c r="A536" s="757">
        <f>'D-3 Off-Site Habitat Enhancment'!AU47</f>
        <v>0</v>
      </c>
      <c r="M536" s="757">
        <f>'E-3 Off-Site Hedge Enhancement'!AO48</f>
        <v>0</v>
      </c>
      <c r="V536" s="1">
        <f>'F-3 Off-Site WaterC Enhancement'!AT45</f>
        <v>0</v>
      </c>
    </row>
    <row r="537" spans="1:22" x14ac:dyDescent="0.3">
      <c r="A537" s="757">
        <f>'D-3 Off-Site Habitat Enhancment'!AU48</f>
        <v>0</v>
      </c>
      <c r="M537" s="757">
        <f>'E-3 Off-Site Hedge Enhancement'!AO49</f>
        <v>0</v>
      </c>
      <c r="V537" s="1">
        <f>'F-3 Off-Site WaterC Enhancement'!AT46</f>
        <v>0</v>
      </c>
    </row>
    <row r="538" spans="1:22" x14ac:dyDescent="0.3">
      <c r="A538" s="757">
        <f>'D-3 Off-Site Habitat Enhancment'!AU49</f>
        <v>0</v>
      </c>
      <c r="M538" s="757">
        <f>'E-3 Off-Site Hedge Enhancement'!AO50</f>
        <v>0</v>
      </c>
      <c r="V538" s="1">
        <f>'F-3 Off-Site WaterC Enhancement'!AT47</f>
        <v>0</v>
      </c>
    </row>
    <row r="539" spans="1:22" x14ac:dyDescent="0.3">
      <c r="A539" s="757">
        <f>'D-3 Off-Site Habitat Enhancment'!AU50</f>
        <v>0</v>
      </c>
      <c r="M539" s="757">
        <f>'E-3 Off-Site Hedge Enhancement'!AO51</f>
        <v>0</v>
      </c>
      <c r="V539" s="1">
        <f>'F-3 Off-Site WaterC Enhancement'!AT48</f>
        <v>0</v>
      </c>
    </row>
    <row r="540" spans="1:22" x14ac:dyDescent="0.3">
      <c r="A540" s="757">
        <f>'D-3 Off-Site Habitat Enhancment'!AU51</f>
        <v>0</v>
      </c>
      <c r="M540" s="757">
        <f>'E-3 Off-Site Hedge Enhancement'!AO52</f>
        <v>0</v>
      </c>
      <c r="V540" s="1">
        <f>'F-3 Off-Site WaterC Enhancement'!AT49</f>
        <v>0</v>
      </c>
    </row>
    <row r="541" spans="1:22" x14ac:dyDescent="0.3">
      <c r="A541" s="757">
        <f>'D-3 Off-Site Habitat Enhancment'!AU52</f>
        <v>0</v>
      </c>
      <c r="M541" s="757">
        <f>'E-3 Off-Site Hedge Enhancement'!AO53</f>
        <v>0</v>
      </c>
      <c r="V541" s="1">
        <f>'F-3 Off-Site WaterC Enhancement'!AT50</f>
        <v>0</v>
      </c>
    </row>
    <row r="542" spans="1:22" x14ac:dyDescent="0.3">
      <c r="A542" s="757">
        <f>'D-3 Off-Site Habitat Enhancment'!AU53</f>
        <v>0</v>
      </c>
      <c r="M542" s="757">
        <f>'E-3 Off-Site Hedge Enhancement'!AO54</f>
        <v>0</v>
      </c>
      <c r="V542" s="1">
        <f>'F-3 Off-Site WaterC Enhancement'!AT51</f>
        <v>0</v>
      </c>
    </row>
    <row r="543" spans="1:22" x14ac:dyDescent="0.3">
      <c r="A543" s="757">
        <f>'D-3 Off-Site Habitat Enhancment'!AU54</f>
        <v>0</v>
      </c>
      <c r="M543" s="757">
        <f>'E-3 Off-Site Hedge Enhancement'!AO55</f>
        <v>0</v>
      </c>
      <c r="V543" s="1">
        <f>'F-3 Off-Site WaterC Enhancement'!AT52</f>
        <v>0</v>
      </c>
    </row>
    <row r="544" spans="1:22" x14ac:dyDescent="0.3">
      <c r="A544" s="757">
        <f>'D-3 Off-Site Habitat Enhancment'!AU55</f>
        <v>0</v>
      </c>
      <c r="M544" s="757">
        <f>'E-3 Off-Site Hedge Enhancement'!AO56</f>
        <v>0</v>
      </c>
      <c r="V544" s="1">
        <f>'F-3 Off-Site WaterC Enhancement'!AT53</f>
        <v>0</v>
      </c>
    </row>
    <row r="545" spans="1:22" x14ac:dyDescent="0.3">
      <c r="A545" s="757">
        <f>'D-3 Off-Site Habitat Enhancment'!AU56</f>
        <v>0</v>
      </c>
      <c r="M545" s="757">
        <f>'E-3 Off-Site Hedge Enhancement'!AO57</f>
        <v>0</v>
      </c>
      <c r="V545" s="1">
        <f>'F-3 Off-Site WaterC Enhancement'!AT54</f>
        <v>0</v>
      </c>
    </row>
    <row r="546" spans="1:22" x14ac:dyDescent="0.3">
      <c r="A546" s="757">
        <f>'D-3 Off-Site Habitat Enhancment'!AU57</f>
        <v>0</v>
      </c>
      <c r="M546" s="757">
        <f>'E-3 Off-Site Hedge Enhancement'!AO58</f>
        <v>0</v>
      </c>
      <c r="V546" s="1">
        <f>'F-3 Off-Site WaterC Enhancement'!AT55</f>
        <v>0</v>
      </c>
    </row>
    <row r="547" spans="1:22" x14ac:dyDescent="0.3">
      <c r="A547" s="757">
        <f>'D-3 Off-Site Habitat Enhancment'!AU58</f>
        <v>0</v>
      </c>
      <c r="M547" s="757">
        <f>'E-3 Off-Site Hedge Enhancement'!AO59</f>
        <v>0</v>
      </c>
      <c r="V547" s="1">
        <f>'F-3 Off-Site WaterC Enhancement'!AT56</f>
        <v>0</v>
      </c>
    </row>
    <row r="548" spans="1:22" x14ac:dyDescent="0.3">
      <c r="A548" s="757">
        <f>'D-3 Off-Site Habitat Enhancment'!AU59</f>
        <v>0</v>
      </c>
      <c r="M548" s="757">
        <f>'E-3 Off-Site Hedge Enhancement'!AO60</f>
        <v>0</v>
      </c>
      <c r="V548" s="1">
        <f>'F-3 Off-Site WaterC Enhancement'!AT57</f>
        <v>0</v>
      </c>
    </row>
    <row r="549" spans="1:22" x14ac:dyDescent="0.3">
      <c r="A549" s="757">
        <f>'D-3 Off-Site Habitat Enhancment'!AU60</f>
        <v>0</v>
      </c>
      <c r="M549" s="757">
        <f>'E-3 Off-Site Hedge Enhancement'!AO61</f>
        <v>0</v>
      </c>
      <c r="V549" s="1">
        <f>'F-3 Off-Site WaterC Enhancement'!AT58</f>
        <v>0</v>
      </c>
    </row>
    <row r="550" spans="1:22" x14ac:dyDescent="0.3">
      <c r="A550" s="757">
        <f>'D-3 Off-Site Habitat Enhancment'!AU61</f>
        <v>0</v>
      </c>
      <c r="M550" s="757">
        <f>'E-3 Off-Site Hedge Enhancement'!AO62</f>
        <v>0</v>
      </c>
      <c r="V550" s="1">
        <f>'F-3 Off-Site WaterC Enhancement'!AT59</f>
        <v>0</v>
      </c>
    </row>
    <row r="551" spans="1:22" x14ac:dyDescent="0.3">
      <c r="A551" s="757">
        <f>'D-3 Off-Site Habitat Enhancment'!AU62</f>
        <v>0</v>
      </c>
      <c r="M551" s="757">
        <f>'E-3 Off-Site Hedge Enhancement'!AO63</f>
        <v>0</v>
      </c>
      <c r="V551" s="1">
        <f>'F-3 Off-Site WaterC Enhancement'!AT60</f>
        <v>0</v>
      </c>
    </row>
    <row r="552" spans="1:22" x14ac:dyDescent="0.3">
      <c r="A552" s="757">
        <f>'D-3 Off-Site Habitat Enhancment'!AU63</f>
        <v>0</v>
      </c>
      <c r="M552" s="757">
        <f>'E-3 Off-Site Hedge Enhancement'!AO64</f>
        <v>0</v>
      </c>
      <c r="V552" s="1">
        <f>'F-3 Off-Site WaterC Enhancement'!AT61</f>
        <v>0</v>
      </c>
    </row>
    <row r="553" spans="1:22" x14ac:dyDescent="0.3">
      <c r="A553" s="757">
        <f>'D-3 Off-Site Habitat Enhancment'!AU64</f>
        <v>0</v>
      </c>
      <c r="M553" s="757">
        <f>'E-3 Off-Site Hedge Enhancement'!AO65</f>
        <v>0</v>
      </c>
      <c r="V553" s="1">
        <f>'F-3 Off-Site WaterC Enhancement'!AT62</f>
        <v>0</v>
      </c>
    </row>
    <row r="554" spans="1:22" x14ac:dyDescent="0.3">
      <c r="A554" s="757">
        <f>'D-3 Off-Site Habitat Enhancment'!AU65</f>
        <v>0</v>
      </c>
      <c r="M554" s="757">
        <f>'E-3 Off-Site Hedge Enhancement'!AO66</f>
        <v>0</v>
      </c>
      <c r="V554" s="1">
        <f>'F-3 Off-Site WaterC Enhancement'!AT63</f>
        <v>0</v>
      </c>
    </row>
    <row r="555" spans="1:22" x14ac:dyDescent="0.3">
      <c r="A555" s="757">
        <f>'D-3 Off-Site Habitat Enhancment'!AU66</f>
        <v>0</v>
      </c>
      <c r="M555" s="757">
        <f>'E-3 Off-Site Hedge Enhancement'!AO67</f>
        <v>0</v>
      </c>
      <c r="V555" s="1">
        <f>'F-3 Off-Site WaterC Enhancement'!AT64</f>
        <v>0</v>
      </c>
    </row>
    <row r="556" spans="1:22" x14ac:dyDescent="0.3">
      <c r="A556" s="757">
        <f>'D-3 Off-Site Habitat Enhancment'!AU67</f>
        <v>0</v>
      </c>
      <c r="M556" s="757">
        <f>'E-3 Off-Site Hedge Enhancement'!AO68</f>
        <v>0</v>
      </c>
      <c r="V556" s="1">
        <f>'F-3 Off-Site WaterC Enhancement'!AT65</f>
        <v>0</v>
      </c>
    </row>
    <row r="557" spans="1:22" x14ac:dyDescent="0.3">
      <c r="A557" s="757">
        <f>'D-3 Off-Site Habitat Enhancment'!AU68</f>
        <v>0</v>
      </c>
      <c r="M557" s="757">
        <f>'E-3 Off-Site Hedge Enhancement'!AO69</f>
        <v>0</v>
      </c>
      <c r="V557" s="1">
        <f>'F-3 Off-Site WaterC Enhancement'!AT66</f>
        <v>0</v>
      </c>
    </row>
    <row r="558" spans="1:22" x14ac:dyDescent="0.3">
      <c r="A558" s="757">
        <f>'D-3 Off-Site Habitat Enhancment'!AU69</f>
        <v>0</v>
      </c>
      <c r="M558" s="757">
        <f>'E-3 Off-Site Hedge Enhancement'!AO70</f>
        <v>0</v>
      </c>
      <c r="V558" s="1">
        <f>'F-3 Off-Site WaterC Enhancement'!AT67</f>
        <v>0</v>
      </c>
    </row>
    <row r="559" spans="1:22" x14ac:dyDescent="0.3">
      <c r="A559" s="757">
        <f>'D-3 Off-Site Habitat Enhancment'!AU70</f>
        <v>0</v>
      </c>
      <c r="M559" s="757">
        <f>'E-3 Off-Site Hedge Enhancement'!AO71</f>
        <v>0</v>
      </c>
      <c r="V559" s="1">
        <f>'F-3 Off-Site WaterC Enhancement'!AT68</f>
        <v>0</v>
      </c>
    </row>
    <row r="560" spans="1:22" x14ac:dyDescent="0.3">
      <c r="A560" s="757">
        <f>'D-3 Off-Site Habitat Enhancment'!AU71</f>
        <v>0</v>
      </c>
      <c r="M560" s="757">
        <f>'E-3 Off-Site Hedge Enhancement'!AO72</f>
        <v>0</v>
      </c>
      <c r="V560" s="1">
        <f>'F-3 Off-Site WaterC Enhancement'!AT69</f>
        <v>0</v>
      </c>
    </row>
    <row r="561" spans="1:22" x14ac:dyDescent="0.3">
      <c r="A561" s="757">
        <f>'D-3 Off-Site Habitat Enhancment'!AU72</f>
        <v>0</v>
      </c>
      <c r="M561" s="757">
        <f>'E-3 Off-Site Hedge Enhancement'!AO73</f>
        <v>0</v>
      </c>
      <c r="V561" s="1">
        <f>'F-3 Off-Site WaterC Enhancement'!AT70</f>
        <v>0</v>
      </c>
    </row>
    <row r="562" spans="1:22" x14ac:dyDescent="0.3">
      <c r="A562" s="757">
        <f>'D-3 Off-Site Habitat Enhancment'!AU73</f>
        <v>0</v>
      </c>
      <c r="M562" s="757">
        <f>'E-3 Off-Site Hedge Enhancement'!AO74</f>
        <v>0</v>
      </c>
      <c r="V562" s="1">
        <f>'F-3 Off-Site WaterC Enhancement'!AT71</f>
        <v>0</v>
      </c>
    </row>
    <row r="563" spans="1:22" x14ac:dyDescent="0.3">
      <c r="A563" s="757">
        <f>'D-3 Off-Site Habitat Enhancment'!AU74</f>
        <v>0</v>
      </c>
      <c r="M563" s="757">
        <f>'E-3 Off-Site Hedge Enhancement'!AO75</f>
        <v>0</v>
      </c>
      <c r="V563" s="1">
        <f>'F-3 Off-Site WaterC Enhancement'!AT72</f>
        <v>0</v>
      </c>
    </row>
    <row r="564" spans="1:22" x14ac:dyDescent="0.3">
      <c r="A564" s="757">
        <f>'D-3 Off-Site Habitat Enhancment'!AU75</f>
        <v>0</v>
      </c>
      <c r="M564" s="757">
        <f>'E-3 Off-Site Hedge Enhancement'!AO76</f>
        <v>0</v>
      </c>
      <c r="V564" s="1">
        <f>'F-3 Off-Site WaterC Enhancement'!AT73</f>
        <v>0</v>
      </c>
    </row>
    <row r="565" spans="1:22" x14ac:dyDescent="0.3">
      <c r="A565" s="757">
        <f>'D-3 Off-Site Habitat Enhancment'!AU76</f>
        <v>0</v>
      </c>
      <c r="M565" s="757">
        <f>'E-3 Off-Site Hedge Enhancement'!AO77</f>
        <v>0</v>
      </c>
      <c r="V565" s="1">
        <f>'F-3 Off-Site WaterC Enhancement'!AT74</f>
        <v>0</v>
      </c>
    </row>
    <row r="566" spans="1:22" x14ac:dyDescent="0.3">
      <c r="A566" s="757">
        <f>'D-3 Off-Site Habitat Enhancment'!AU77</f>
        <v>0</v>
      </c>
      <c r="M566" s="757">
        <f>'E-3 Off-Site Hedge Enhancement'!AO78</f>
        <v>0</v>
      </c>
      <c r="V566" s="1">
        <f>'F-3 Off-Site WaterC Enhancement'!AT75</f>
        <v>0</v>
      </c>
    </row>
    <row r="567" spans="1:22" x14ac:dyDescent="0.3">
      <c r="A567" s="757">
        <f>'D-3 Off-Site Habitat Enhancment'!AU78</f>
        <v>0</v>
      </c>
      <c r="M567" s="757">
        <f>'E-3 Off-Site Hedge Enhancement'!AO79</f>
        <v>0</v>
      </c>
      <c r="V567" s="1">
        <f>'F-3 Off-Site WaterC Enhancement'!AT76</f>
        <v>0</v>
      </c>
    </row>
    <row r="568" spans="1:22" x14ac:dyDescent="0.3">
      <c r="A568" s="757">
        <f>'D-3 Off-Site Habitat Enhancment'!AU79</f>
        <v>0</v>
      </c>
      <c r="M568" s="757">
        <f>'E-3 Off-Site Hedge Enhancement'!AO80</f>
        <v>0</v>
      </c>
      <c r="V568" s="1">
        <f>'F-3 Off-Site WaterC Enhancement'!AT77</f>
        <v>0</v>
      </c>
    </row>
    <row r="569" spans="1:22" x14ac:dyDescent="0.3">
      <c r="A569" s="757">
        <f>'D-3 Off-Site Habitat Enhancment'!AU80</f>
        <v>0</v>
      </c>
      <c r="M569" s="757">
        <f>'E-3 Off-Site Hedge Enhancement'!AO81</f>
        <v>0</v>
      </c>
      <c r="V569" s="1">
        <f>'F-3 Off-Site WaterC Enhancement'!AT78</f>
        <v>0</v>
      </c>
    </row>
    <row r="570" spans="1:22" x14ac:dyDescent="0.3">
      <c r="A570" s="757">
        <f>'D-3 Off-Site Habitat Enhancment'!AU81</f>
        <v>0</v>
      </c>
      <c r="M570" s="757">
        <f>'E-3 Off-Site Hedge Enhancement'!AO82</f>
        <v>0</v>
      </c>
      <c r="V570" s="1">
        <f>'F-3 Off-Site WaterC Enhancement'!AT79</f>
        <v>0</v>
      </c>
    </row>
    <row r="571" spans="1:22" x14ac:dyDescent="0.3">
      <c r="A571" s="757">
        <f>'D-3 Off-Site Habitat Enhancment'!AU82</f>
        <v>0</v>
      </c>
      <c r="M571" s="757">
        <f>'E-3 Off-Site Hedge Enhancement'!AO83</f>
        <v>0</v>
      </c>
      <c r="V571" s="1">
        <f>'F-3 Off-Site WaterC Enhancement'!AT80</f>
        <v>0</v>
      </c>
    </row>
    <row r="572" spans="1:22" x14ac:dyDescent="0.3">
      <c r="A572" s="757">
        <f>'D-3 Off-Site Habitat Enhancment'!AU83</f>
        <v>0</v>
      </c>
      <c r="M572" s="757">
        <f>'E-3 Off-Site Hedge Enhancement'!AO84</f>
        <v>0</v>
      </c>
      <c r="V572" s="1">
        <f>'F-3 Off-Site WaterC Enhancement'!AT81</f>
        <v>0</v>
      </c>
    </row>
    <row r="573" spans="1:22" x14ac:dyDescent="0.3">
      <c r="A573" s="757">
        <f>'D-3 Off-Site Habitat Enhancment'!AU84</f>
        <v>0</v>
      </c>
      <c r="M573" s="757">
        <f>'E-3 Off-Site Hedge Enhancement'!AO85</f>
        <v>0</v>
      </c>
      <c r="V573" s="1">
        <f>'F-3 Off-Site WaterC Enhancement'!AT82</f>
        <v>0</v>
      </c>
    </row>
    <row r="574" spans="1:22" x14ac:dyDescent="0.3">
      <c r="A574" s="757">
        <f>'D-3 Off-Site Habitat Enhancment'!AU85</f>
        <v>0</v>
      </c>
      <c r="M574" s="757">
        <f>'E-3 Off-Site Hedge Enhancement'!AO86</f>
        <v>0</v>
      </c>
      <c r="V574" s="1">
        <f>'F-3 Off-Site WaterC Enhancement'!AT83</f>
        <v>0</v>
      </c>
    </row>
    <row r="575" spans="1:22" x14ac:dyDescent="0.3">
      <c r="A575" s="757">
        <f>'D-3 Off-Site Habitat Enhancment'!AU86</f>
        <v>0</v>
      </c>
      <c r="M575" s="757">
        <f>'E-3 Off-Site Hedge Enhancement'!AO87</f>
        <v>0</v>
      </c>
      <c r="V575" s="1">
        <f>'F-3 Off-Site WaterC Enhancement'!AT84</f>
        <v>0</v>
      </c>
    </row>
    <row r="576" spans="1:22" x14ac:dyDescent="0.3">
      <c r="A576" s="757">
        <f>'D-3 Off-Site Habitat Enhancment'!AU87</f>
        <v>0</v>
      </c>
      <c r="M576" s="757">
        <f>'E-3 Off-Site Hedge Enhancement'!AO88</f>
        <v>0</v>
      </c>
      <c r="V576" s="1">
        <f>'F-3 Off-Site WaterC Enhancement'!AT85</f>
        <v>0</v>
      </c>
    </row>
    <row r="577" spans="1:22" x14ac:dyDescent="0.3">
      <c r="A577" s="757">
        <f>'D-3 Off-Site Habitat Enhancment'!AU88</f>
        <v>0</v>
      </c>
      <c r="M577" s="757">
        <f>'E-3 Off-Site Hedge Enhancement'!AO89</f>
        <v>0</v>
      </c>
      <c r="V577" s="1">
        <f>'F-3 Off-Site WaterC Enhancement'!AT86</f>
        <v>0</v>
      </c>
    </row>
    <row r="578" spans="1:22" x14ac:dyDescent="0.3">
      <c r="A578" s="757">
        <f>'D-3 Off-Site Habitat Enhancment'!AU89</f>
        <v>0</v>
      </c>
      <c r="M578" s="757">
        <f>'E-3 Off-Site Hedge Enhancement'!AO90</f>
        <v>0</v>
      </c>
      <c r="V578" s="1">
        <f>'F-3 Off-Site WaterC Enhancement'!AT87</f>
        <v>0</v>
      </c>
    </row>
    <row r="579" spans="1:22" x14ac:dyDescent="0.3">
      <c r="A579" s="757">
        <f>'D-3 Off-Site Habitat Enhancment'!AU90</f>
        <v>0</v>
      </c>
      <c r="M579" s="757">
        <f>'E-3 Off-Site Hedge Enhancement'!AO91</f>
        <v>0</v>
      </c>
      <c r="V579" s="1">
        <f>'F-3 Off-Site WaterC Enhancement'!AT88</f>
        <v>0</v>
      </c>
    </row>
    <row r="580" spans="1:22" x14ac:dyDescent="0.3">
      <c r="A580" s="757">
        <f>'D-3 Off-Site Habitat Enhancment'!AU91</f>
        <v>0</v>
      </c>
      <c r="M580" s="757">
        <f>'E-3 Off-Site Hedge Enhancement'!AO92</f>
        <v>0</v>
      </c>
      <c r="V580" s="1">
        <f>'F-3 Off-Site WaterC Enhancement'!AT89</f>
        <v>0</v>
      </c>
    </row>
    <row r="581" spans="1:22" x14ac:dyDescent="0.3">
      <c r="A581" s="757">
        <f>'D-3 Off-Site Habitat Enhancment'!AU92</f>
        <v>0</v>
      </c>
      <c r="M581" s="757">
        <f>'E-3 Off-Site Hedge Enhancement'!AO93</f>
        <v>0</v>
      </c>
      <c r="V581" s="1">
        <f>'F-3 Off-Site WaterC Enhancement'!AT90</f>
        <v>0</v>
      </c>
    </row>
    <row r="582" spans="1:22" x14ac:dyDescent="0.3">
      <c r="A582" s="757">
        <f>'D-3 Off-Site Habitat Enhancment'!AU93</f>
        <v>0</v>
      </c>
      <c r="M582" s="757">
        <f>'E-3 Off-Site Hedge Enhancement'!AO94</f>
        <v>0</v>
      </c>
      <c r="V582" s="1">
        <f>'F-3 Off-Site WaterC Enhancement'!AT91</f>
        <v>0</v>
      </c>
    </row>
    <row r="583" spans="1:22" x14ac:dyDescent="0.3">
      <c r="A583" s="757">
        <f>'D-3 Off-Site Habitat Enhancment'!AU94</f>
        <v>0</v>
      </c>
      <c r="M583" s="757">
        <f>'E-3 Off-Site Hedge Enhancement'!AO95</f>
        <v>0</v>
      </c>
      <c r="V583" s="1">
        <f>'F-3 Off-Site WaterC Enhancement'!AT92</f>
        <v>0</v>
      </c>
    </row>
    <row r="584" spans="1:22" x14ac:dyDescent="0.3">
      <c r="A584" s="757">
        <f>'D-3 Off-Site Habitat Enhancment'!AU95</f>
        <v>0</v>
      </c>
      <c r="M584" s="757">
        <f>'E-3 Off-Site Hedge Enhancement'!AO96</f>
        <v>0</v>
      </c>
      <c r="V584" s="1">
        <f>'F-3 Off-Site WaterC Enhancement'!AT93</f>
        <v>0</v>
      </c>
    </row>
    <row r="585" spans="1:22" x14ac:dyDescent="0.3">
      <c r="A585" s="757">
        <f>'D-3 Off-Site Habitat Enhancment'!AU96</f>
        <v>0</v>
      </c>
      <c r="M585" s="757">
        <f>'E-3 Off-Site Hedge Enhancement'!AO97</f>
        <v>0</v>
      </c>
      <c r="V585" s="1">
        <f>'F-3 Off-Site WaterC Enhancement'!AT94</f>
        <v>0</v>
      </c>
    </row>
    <row r="586" spans="1:22" x14ac:dyDescent="0.3">
      <c r="A586" s="757">
        <f>'D-3 Off-Site Habitat Enhancment'!AU97</f>
        <v>0</v>
      </c>
      <c r="M586" s="757">
        <f>'E-3 Off-Site Hedge Enhancement'!AO98</f>
        <v>0</v>
      </c>
      <c r="V586" s="1">
        <f>'F-3 Off-Site WaterC Enhancement'!AT95</f>
        <v>0</v>
      </c>
    </row>
    <row r="587" spans="1:22" x14ac:dyDescent="0.3">
      <c r="A587" s="757">
        <f>'D-3 Off-Site Habitat Enhancment'!AU98</f>
        <v>0</v>
      </c>
      <c r="M587" s="757">
        <f>'E-3 Off-Site Hedge Enhancement'!AO99</f>
        <v>0</v>
      </c>
      <c r="V587" s="1">
        <f>'F-3 Off-Site WaterC Enhancement'!AT96</f>
        <v>0</v>
      </c>
    </row>
    <row r="588" spans="1:22" x14ac:dyDescent="0.3">
      <c r="A588" s="757">
        <f>'D-3 Off-Site Habitat Enhancment'!AU99</f>
        <v>0</v>
      </c>
      <c r="M588" s="757">
        <f>'E-3 Off-Site Hedge Enhancement'!AO100</f>
        <v>0</v>
      </c>
      <c r="V588" s="1">
        <f>'F-3 Off-Site WaterC Enhancement'!AT97</f>
        <v>0</v>
      </c>
    </row>
    <row r="589" spans="1:22" x14ac:dyDescent="0.3">
      <c r="A589" s="757">
        <f>'D-3 Off-Site Habitat Enhancment'!AU100</f>
        <v>0</v>
      </c>
      <c r="M589" s="757">
        <f>'E-3 Off-Site Hedge Enhancement'!AO101</f>
        <v>0</v>
      </c>
      <c r="V589" s="1">
        <f>'F-3 Off-Site WaterC Enhancement'!AT98</f>
        <v>0</v>
      </c>
    </row>
    <row r="590" spans="1:22" x14ac:dyDescent="0.3">
      <c r="A590" s="757">
        <f>'D-3 Off-Site Habitat Enhancment'!AU101</f>
        <v>0</v>
      </c>
      <c r="M590" s="757">
        <f>'E-3 Off-Site Hedge Enhancement'!AO102</f>
        <v>0</v>
      </c>
      <c r="V590" s="1">
        <f>'F-3 Off-Site WaterC Enhancement'!AT99</f>
        <v>0</v>
      </c>
    </row>
    <row r="591" spans="1:22" x14ac:dyDescent="0.3">
      <c r="A591" s="757">
        <f>'D-3 Off-Site Habitat Enhancment'!AU102</f>
        <v>0</v>
      </c>
      <c r="M591" s="757">
        <f>'E-3 Off-Site Hedge Enhancement'!AO103</f>
        <v>0</v>
      </c>
      <c r="V591" s="1">
        <f>'F-3 Off-Site WaterC Enhancement'!AT100</f>
        <v>0</v>
      </c>
    </row>
    <row r="592" spans="1:22" x14ac:dyDescent="0.3">
      <c r="A592" s="757">
        <f>'D-3 Off-Site Habitat Enhancment'!AU103</f>
        <v>0</v>
      </c>
      <c r="M592" s="757">
        <f>'E-3 Off-Site Hedge Enhancement'!AO104</f>
        <v>0</v>
      </c>
      <c r="V592" s="1">
        <f>'F-3 Off-Site WaterC Enhancement'!AT101</f>
        <v>0</v>
      </c>
    </row>
    <row r="593" spans="1:22" x14ac:dyDescent="0.3">
      <c r="A593" s="757">
        <f>'D-3 Off-Site Habitat Enhancment'!AU104</f>
        <v>0</v>
      </c>
      <c r="M593" s="757">
        <f>'E-3 Off-Site Hedge Enhancement'!AO105</f>
        <v>0</v>
      </c>
      <c r="V593" s="1">
        <f>'F-3 Off-Site WaterC Enhancement'!AT102</f>
        <v>0</v>
      </c>
    </row>
    <row r="594" spans="1:22" x14ac:dyDescent="0.3">
      <c r="A594" s="757">
        <f>'D-3 Off-Site Habitat Enhancment'!AU105</f>
        <v>0</v>
      </c>
      <c r="M594" s="757">
        <f>'E-3 Off-Site Hedge Enhancement'!AO106</f>
        <v>0</v>
      </c>
      <c r="V594" s="1">
        <f>'F-3 Off-Site WaterC Enhancement'!AT103</f>
        <v>0</v>
      </c>
    </row>
    <row r="595" spans="1:22" x14ac:dyDescent="0.3">
      <c r="A595" s="757">
        <f>'D-3 Off-Site Habitat Enhancment'!AU106</f>
        <v>0</v>
      </c>
      <c r="M595" s="757">
        <f>'E-3 Off-Site Hedge Enhancement'!AO107</f>
        <v>0</v>
      </c>
      <c r="V595" s="1">
        <f>'F-3 Off-Site WaterC Enhancement'!AT104</f>
        <v>0</v>
      </c>
    </row>
    <row r="596" spans="1:22" x14ac:dyDescent="0.3">
      <c r="A596" s="757">
        <f>'D-3 Off-Site Habitat Enhancment'!AU107</f>
        <v>0</v>
      </c>
      <c r="M596" s="757">
        <f>'E-3 Off-Site Hedge Enhancement'!AO108</f>
        <v>0</v>
      </c>
      <c r="V596" s="1">
        <f>'F-3 Off-Site WaterC Enhancement'!AT105</f>
        <v>0</v>
      </c>
    </row>
    <row r="597" spans="1:22" x14ac:dyDescent="0.3">
      <c r="A597" s="757">
        <f>'D-3 Off-Site Habitat Enhancment'!AU108</f>
        <v>0</v>
      </c>
      <c r="M597" s="757">
        <f>'E-3 Off-Site Hedge Enhancement'!AO109</f>
        <v>0</v>
      </c>
      <c r="V597" s="1">
        <f>'F-3 Off-Site WaterC Enhancement'!AT106</f>
        <v>0</v>
      </c>
    </row>
    <row r="598" spans="1:22" x14ac:dyDescent="0.3">
      <c r="A598" s="757">
        <f>'D-3 Off-Site Habitat Enhancment'!AU109</f>
        <v>0</v>
      </c>
      <c r="M598" s="757">
        <f>'E-3 Off-Site Hedge Enhancement'!AO110</f>
        <v>0</v>
      </c>
      <c r="V598" s="1">
        <f>'F-3 Off-Site WaterC Enhancement'!AT107</f>
        <v>0</v>
      </c>
    </row>
    <row r="599" spans="1:22" x14ac:dyDescent="0.3">
      <c r="A599" s="757">
        <f>'D-3 Off-Site Habitat Enhancment'!AU110</f>
        <v>0</v>
      </c>
      <c r="M599" s="757">
        <f>'E-3 Off-Site Hedge Enhancement'!AO111</f>
        <v>0</v>
      </c>
      <c r="V599" s="1">
        <f>'F-3 Off-Site WaterC Enhancement'!AT108</f>
        <v>0</v>
      </c>
    </row>
    <row r="600" spans="1:22" x14ac:dyDescent="0.3">
      <c r="A600" s="757">
        <f>'D-3 Off-Site Habitat Enhancment'!AU111</f>
        <v>0</v>
      </c>
      <c r="M600" s="757">
        <f>'E-3 Off-Site Hedge Enhancement'!AO112</f>
        <v>0</v>
      </c>
      <c r="V600" s="1">
        <f>'F-3 Off-Site WaterC Enhancement'!AT109</f>
        <v>0</v>
      </c>
    </row>
    <row r="601" spans="1:22" x14ac:dyDescent="0.3">
      <c r="A601" s="757">
        <f>'D-3 Off-Site Habitat Enhancment'!AU112</f>
        <v>0</v>
      </c>
      <c r="M601" s="757">
        <f>'E-3 Off-Site Hedge Enhancement'!AO113</f>
        <v>0</v>
      </c>
      <c r="V601" s="1">
        <f>'F-3 Off-Site WaterC Enhancement'!AT110</f>
        <v>0</v>
      </c>
    </row>
    <row r="602" spans="1:22" x14ac:dyDescent="0.3">
      <c r="A602" s="757">
        <f>'D-3 Off-Site Habitat Enhancment'!AU113</f>
        <v>0</v>
      </c>
      <c r="M602" s="757">
        <f>'E-3 Off-Site Hedge Enhancement'!AO114</f>
        <v>0</v>
      </c>
      <c r="V602" s="1">
        <f>'F-3 Off-Site WaterC Enhancement'!AT111</f>
        <v>0</v>
      </c>
    </row>
    <row r="603" spans="1:22" x14ac:dyDescent="0.3">
      <c r="A603" s="757">
        <f>'D-3 Off-Site Habitat Enhancment'!AU114</f>
        <v>0</v>
      </c>
      <c r="M603" s="757">
        <f>'E-3 Off-Site Hedge Enhancement'!AO115</f>
        <v>0</v>
      </c>
      <c r="V603" s="1">
        <f>'F-3 Off-Site WaterC Enhancement'!AT112</f>
        <v>0</v>
      </c>
    </row>
    <row r="604" spans="1:22" x14ac:dyDescent="0.3">
      <c r="A604" s="757">
        <f>'D-3 Off-Site Habitat Enhancment'!AU115</f>
        <v>0</v>
      </c>
      <c r="M604" s="757">
        <f>'E-3 Off-Site Hedge Enhancement'!AO116</f>
        <v>0</v>
      </c>
      <c r="V604" s="1">
        <f>'F-3 Off-Site WaterC Enhancement'!AT113</f>
        <v>0</v>
      </c>
    </row>
    <row r="605" spans="1:22" x14ac:dyDescent="0.3">
      <c r="A605" s="757">
        <f>'D-3 Off-Site Habitat Enhancment'!AU116</f>
        <v>0</v>
      </c>
      <c r="M605" s="757">
        <f>'E-3 Off-Site Hedge Enhancement'!AO117</f>
        <v>0</v>
      </c>
      <c r="V605" s="1">
        <f>'F-3 Off-Site WaterC Enhancement'!AT114</f>
        <v>0</v>
      </c>
    </row>
    <row r="606" spans="1:22" x14ac:dyDescent="0.3">
      <c r="A606" s="757">
        <f>'D-3 Off-Site Habitat Enhancment'!AU117</f>
        <v>0</v>
      </c>
      <c r="M606" s="757">
        <f>'E-3 Off-Site Hedge Enhancement'!AO118</f>
        <v>0</v>
      </c>
      <c r="V606" s="1">
        <f>'F-3 Off-Site WaterC Enhancement'!AT115</f>
        <v>0</v>
      </c>
    </row>
    <row r="607" spans="1:22" x14ac:dyDescent="0.3">
      <c r="A607" s="757">
        <f>'D-3 Off-Site Habitat Enhancment'!AU118</f>
        <v>0</v>
      </c>
      <c r="M607" s="757">
        <f>'E-3 Off-Site Hedge Enhancement'!AO119</f>
        <v>0</v>
      </c>
      <c r="V607" s="1">
        <f>'F-3 Off-Site WaterC Enhancement'!AT116</f>
        <v>0</v>
      </c>
    </row>
    <row r="608" spans="1:22" x14ac:dyDescent="0.3">
      <c r="A608" s="757">
        <f>'D-3 Off-Site Habitat Enhancment'!AU119</f>
        <v>0</v>
      </c>
      <c r="M608" s="757">
        <f>'E-3 Off-Site Hedge Enhancement'!AO120</f>
        <v>0</v>
      </c>
      <c r="V608" s="1">
        <f>'F-3 Off-Site WaterC Enhancement'!AT117</f>
        <v>0</v>
      </c>
    </row>
    <row r="609" spans="1:22" x14ac:dyDescent="0.3">
      <c r="A609" s="757">
        <f>'D-3 Off-Site Habitat Enhancment'!AU120</f>
        <v>0</v>
      </c>
      <c r="M609" s="757">
        <f>'E-3 Off-Site Hedge Enhancement'!AO121</f>
        <v>0</v>
      </c>
      <c r="V609" s="1">
        <f>'F-3 Off-Site WaterC Enhancement'!AT118</f>
        <v>0</v>
      </c>
    </row>
    <row r="610" spans="1:22" x14ac:dyDescent="0.3">
      <c r="A610" s="757">
        <f>'D-3 Off-Site Habitat Enhancment'!AU121</f>
        <v>0</v>
      </c>
      <c r="M610" s="757">
        <f>'E-3 Off-Site Hedge Enhancement'!AO122</f>
        <v>0</v>
      </c>
      <c r="V610" s="1">
        <f>'F-3 Off-Site WaterC Enhancement'!AT119</f>
        <v>0</v>
      </c>
    </row>
    <row r="611" spans="1:22" x14ac:dyDescent="0.3">
      <c r="A611" s="757">
        <f>'D-3 Off-Site Habitat Enhancment'!AU122</f>
        <v>0</v>
      </c>
      <c r="M611" s="757">
        <f>'E-3 Off-Site Hedge Enhancement'!AO123</f>
        <v>0</v>
      </c>
      <c r="V611" s="1">
        <f>'F-3 Off-Site WaterC Enhancement'!AT120</f>
        <v>0</v>
      </c>
    </row>
    <row r="612" spans="1:22" x14ac:dyDescent="0.3">
      <c r="A612" s="757">
        <f>'D-3 Off-Site Habitat Enhancment'!AU123</f>
        <v>0</v>
      </c>
      <c r="M612" s="757">
        <f>'E-3 Off-Site Hedge Enhancement'!AO124</f>
        <v>0</v>
      </c>
      <c r="V612" s="1">
        <f>'F-3 Off-Site WaterC Enhancement'!AT121</f>
        <v>0</v>
      </c>
    </row>
    <row r="613" spans="1:22" x14ac:dyDescent="0.3">
      <c r="A613" s="757">
        <f>'D-3 Off-Site Habitat Enhancment'!AU124</f>
        <v>0</v>
      </c>
      <c r="M613" s="757">
        <f>'E-3 Off-Site Hedge Enhancement'!AO125</f>
        <v>0</v>
      </c>
      <c r="V613" s="1">
        <f>'F-3 Off-Site WaterC Enhancement'!AT122</f>
        <v>0</v>
      </c>
    </row>
    <row r="614" spans="1:22" x14ac:dyDescent="0.3">
      <c r="A614" s="757">
        <f>'D-3 Off-Site Habitat Enhancment'!AU125</f>
        <v>0</v>
      </c>
      <c r="M614" s="757">
        <f>'E-3 Off-Site Hedge Enhancement'!AO126</f>
        <v>0</v>
      </c>
      <c r="V614" s="1">
        <f>'F-3 Off-Site WaterC Enhancement'!AT123</f>
        <v>0</v>
      </c>
    </row>
    <row r="615" spans="1:22" x14ac:dyDescent="0.3">
      <c r="A615" s="757">
        <f>'D-3 Off-Site Habitat Enhancment'!AU126</f>
        <v>0</v>
      </c>
      <c r="M615" s="757">
        <f>'E-3 Off-Site Hedge Enhancement'!AO127</f>
        <v>0</v>
      </c>
      <c r="V615" s="1">
        <f>'F-3 Off-Site WaterC Enhancement'!AT124</f>
        <v>0</v>
      </c>
    </row>
    <row r="616" spans="1:22" x14ac:dyDescent="0.3">
      <c r="A616" s="757">
        <f>'D-3 Off-Site Habitat Enhancment'!AU127</f>
        <v>0</v>
      </c>
      <c r="M616" s="757">
        <f>'E-3 Off-Site Hedge Enhancement'!AO128</f>
        <v>0</v>
      </c>
      <c r="V616" s="1">
        <f>'F-3 Off-Site WaterC Enhancement'!AT125</f>
        <v>0</v>
      </c>
    </row>
    <row r="617" spans="1:22" x14ac:dyDescent="0.3">
      <c r="A617" s="757">
        <f>'D-3 Off-Site Habitat Enhancment'!AU128</f>
        <v>0</v>
      </c>
      <c r="M617" s="757">
        <f>'E-3 Off-Site Hedge Enhancement'!AO129</f>
        <v>0</v>
      </c>
      <c r="V617" s="1">
        <f>'F-3 Off-Site WaterC Enhancement'!AT126</f>
        <v>0</v>
      </c>
    </row>
    <row r="618" spans="1:22" x14ac:dyDescent="0.3">
      <c r="A618" s="757">
        <f>'D-3 Off-Site Habitat Enhancment'!AU129</f>
        <v>0</v>
      </c>
      <c r="M618" s="757">
        <f>'E-3 Off-Site Hedge Enhancement'!AO130</f>
        <v>0</v>
      </c>
      <c r="V618" s="1">
        <f>'F-3 Off-Site WaterC Enhancement'!AT127</f>
        <v>0</v>
      </c>
    </row>
    <row r="619" spans="1:22" x14ac:dyDescent="0.3">
      <c r="A619" s="757">
        <f>'D-3 Off-Site Habitat Enhancment'!AU130</f>
        <v>0</v>
      </c>
      <c r="M619" s="757">
        <f>'E-3 Off-Site Hedge Enhancement'!AO131</f>
        <v>0</v>
      </c>
      <c r="V619" s="1">
        <f>'F-3 Off-Site WaterC Enhancement'!AT128</f>
        <v>0</v>
      </c>
    </row>
    <row r="620" spans="1:22" x14ac:dyDescent="0.3">
      <c r="A620" s="757">
        <f>'D-3 Off-Site Habitat Enhancment'!AU131</f>
        <v>0</v>
      </c>
      <c r="M620" s="757">
        <f>'E-3 Off-Site Hedge Enhancement'!AO132</f>
        <v>0</v>
      </c>
      <c r="V620" s="1">
        <f>'F-3 Off-Site WaterC Enhancement'!AT129</f>
        <v>0</v>
      </c>
    </row>
    <row r="621" spans="1:22" x14ac:dyDescent="0.3">
      <c r="A621" s="757">
        <f>'D-3 Off-Site Habitat Enhancment'!AU132</f>
        <v>0</v>
      </c>
      <c r="M621" s="757">
        <f>'E-3 Off-Site Hedge Enhancement'!AO133</f>
        <v>0</v>
      </c>
      <c r="V621" s="1">
        <f>'F-3 Off-Site WaterC Enhancement'!AT130</f>
        <v>0</v>
      </c>
    </row>
    <row r="622" spans="1:22" x14ac:dyDescent="0.3">
      <c r="A622" s="757">
        <f>'D-3 Off-Site Habitat Enhancment'!AU133</f>
        <v>0</v>
      </c>
      <c r="M622" s="757">
        <f>'E-3 Off-Site Hedge Enhancement'!AO134</f>
        <v>0</v>
      </c>
      <c r="V622" s="1">
        <f>'F-3 Off-Site WaterC Enhancement'!AT131</f>
        <v>0</v>
      </c>
    </row>
    <row r="623" spans="1:22" x14ac:dyDescent="0.3">
      <c r="A623" s="757">
        <f>'D-3 Off-Site Habitat Enhancment'!AU134</f>
        <v>0</v>
      </c>
      <c r="M623" s="757">
        <f>'E-3 Off-Site Hedge Enhancement'!AO135</f>
        <v>0</v>
      </c>
      <c r="V623" s="1">
        <f>'F-3 Off-Site WaterC Enhancement'!AT132</f>
        <v>0</v>
      </c>
    </row>
    <row r="624" spans="1:22" x14ac:dyDescent="0.3">
      <c r="A624" s="757">
        <f>'D-3 Off-Site Habitat Enhancment'!AU135</f>
        <v>0</v>
      </c>
      <c r="M624" s="757">
        <f>'E-3 Off-Site Hedge Enhancement'!AO136</f>
        <v>0</v>
      </c>
      <c r="V624" s="1">
        <f>'F-3 Off-Site WaterC Enhancement'!AT133</f>
        <v>0</v>
      </c>
    </row>
    <row r="625" spans="1:22" x14ac:dyDescent="0.3">
      <c r="A625" s="757">
        <f>'D-3 Off-Site Habitat Enhancment'!AU136</f>
        <v>0</v>
      </c>
      <c r="M625" s="757">
        <f>'E-3 Off-Site Hedge Enhancement'!AO137</f>
        <v>0</v>
      </c>
      <c r="V625" s="1">
        <f>'F-3 Off-Site WaterC Enhancement'!AT134</f>
        <v>0</v>
      </c>
    </row>
    <row r="626" spans="1:22" x14ac:dyDescent="0.3">
      <c r="A626" s="757">
        <f>'D-3 Off-Site Habitat Enhancment'!AU137</f>
        <v>0</v>
      </c>
      <c r="M626" s="757">
        <f>'E-3 Off-Site Hedge Enhancement'!AO138</f>
        <v>0</v>
      </c>
      <c r="V626" s="1">
        <f>'F-3 Off-Site WaterC Enhancement'!AT135</f>
        <v>0</v>
      </c>
    </row>
    <row r="627" spans="1:22" x14ac:dyDescent="0.3">
      <c r="A627" s="757">
        <f>'D-3 Off-Site Habitat Enhancment'!AU138</f>
        <v>0</v>
      </c>
      <c r="M627" s="757">
        <f>'E-3 Off-Site Hedge Enhancement'!AO139</f>
        <v>0</v>
      </c>
      <c r="V627" s="1">
        <f>'F-3 Off-Site WaterC Enhancement'!AT136</f>
        <v>0</v>
      </c>
    </row>
    <row r="628" spans="1:22" x14ac:dyDescent="0.3">
      <c r="A628" s="757">
        <f>'D-3 Off-Site Habitat Enhancment'!AU139</f>
        <v>0</v>
      </c>
      <c r="M628" s="757">
        <f>'E-3 Off-Site Hedge Enhancement'!AO140</f>
        <v>0</v>
      </c>
      <c r="V628" s="1">
        <f>'F-3 Off-Site WaterC Enhancement'!AT137</f>
        <v>0</v>
      </c>
    </row>
    <row r="629" spans="1:22" x14ac:dyDescent="0.3">
      <c r="A629" s="757">
        <f>'D-3 Off-Site Habitat Enhancment'!AU140</f>
        <v>0</v>
      </c>
      <c r="M629" s="757">
        <f>'E-3 Off-Site Hedge Enhancement'!AO141</f>
        <v>0</v>
      </c>
      <c r="V629" s="1">
        <f>'F-3 Off-Site WaterC Enhancement'!AT138</f>
        <v>0</v>
      </c>
    </row>
    <row r="630" spans="1:22" x14ac:dyDescent="0.3">
      <c r="A630" s="757">
        <f>'D-3 Off-Site Habitat Enhancment'!AU141</f>
        <v>0</v>
      </c>
      <c r="M630" s="757">
        <f>'E-3 Off-Site Hedge Enhancement'!AO142</f>
        <v>0</v>
      </c>
      <c r="V630" s="1">
        <f>'F-3 Off-Site WaterC Enhancement'!AT139</f>
        <v>0</v>
      </c>
    </row>
    <row r="631" spans="1:22" x14ac:dyDescent="0.3">
      <c r="A631" s="757">
        <f>'D-3 Off-Site Habitat Enhancment'!AU142</f>
        <v>0</v>
      </c>
      <c r="M631" s="757">
        <f>'E-3 Off-Site Hedge Enhancement'!AO143</f>
        <v>0</v>
      </c>
      <c r="V631" s="1">
        <f>'F-3 Off-Site WaterC Enhancement'!AT140</f>
        <v>0</v>
      </c>
    </row>
    <row r="632" spans="1:22" x14ac:dyDescent="0.3">
      <c r="A632" s="757">
        <f>'D-3 Off-Site Habitat Enhancment'!AU143</f>
        <v>0</v>
      </c>
      <c r="M632" s="757">
        <f>'E-3 Off-Site Hedge Enhancement'!AO144</f>
        <v>0</v>
      </c>
      <c r="V632" s="1">
        <f>'F-3 Off-Site WaterC Enhancement'!AT141</f>
        <v>0</v>
      </c>
    </row>
    <row r="633" spans="1:22" x14ac:dyDescent="0.3">
      <c r="A633" s="757">
        <f>'D-3 Off-Site Habitat Enhancment'!AU144</f>
        <v>0</v>
      </c>
      <c r="M633" s="757">
        <f>'E-3 Off-Site Hedge Enhancement'!AO145</f>
        <v>0</v>
      </c>
      <c r="V633" s="1">
        <f>'F-3 Off-Site WaterC Enhancement'!AT142</f>
        <v>0</v>
      </c>
    </row>
    <row r="634" spans="1:22" x14ac:dyDescent="0.3">
      <c r="A634" s="757">
        <f>'D-3 Off-Site Habitat Enhancment'!AU145</f>
        <v>0</v>
      </c>
      <c r="M634" s="757">
        <f>'E-3 Off-Site Hedge Enhancement'!AO146</f>
        <v>0</v>
      </c>
      <c r="V634" s="1">
        <f>'F-3 Off-Site WaterC Enhancement'!AT143</f>
        <v>0</v>
      </c>
    </row>
    <row r="635" spans="1:22" x14ac:dyDescent="0.3">
      <c r="A635" s="757">
        <f>'D-3 Off-Site Habitat Enhancment'!AU146</f>
        <v>0</v>
      </c>
      <c r="M635" s="757">
        <f>'E-3 Off-Site Hedge Enhancement'!AO147</f>
        <v>0</v>
      </c>
      <c r="V635" s="1">
        <f>'F-3 Off-Site WaterC Enhancement'!AT144</f>
        <v>0</v>
      </c>
    </row>
    <row r="636" spans="1:22" x14ac:dyDescent="0.3">
      <c r="A636" s="757">
        <f>'D-3 Off-Site Habitat Enhancment'!AU147</f>
        <v>0</v>
      </c>
      <c r="M636" s="757">
        <f>'E-3 Off-Site Hedge Enhancement'!AO148</f>
        <v>0</v>
      </c>
      <c r="V636" s="1">
        <f>'F-3 Off-Site WaterC Enhancement'!AT145</f>
        <v>0</v>
      </c>
    </row>
    <row r="637" spans="1:22" x14ac:dyDescent="0.3">
      <c r="A637" s="757">
        <f>'D-3 Off-Site Habitat Enhancment'!AU148</f>
        <v>0</v>
      </c>
      <c r="M637" s="757">
        <f>'E-3 Off-Site Hedge Enhancement'!AO149</f>
        <v>0</v>
      </c>
      <c r="V637" s="1">
        <f>'F-3 Off-Site WaterC Enhancement'!AT146</f>
        <v>0</v>
      </c>
    </row>
    <row r="638" spans="1:22" x14ac:dyDescent="0.3">
      <c r="A638" s="757">
        <f>'D-3 Off-Site Habitat Enhancment'!AU149</f>
        <v>0</v>
      </c>
      <c r="M638" s="757">
        <f>'E-3 Off-Site Hedge Enhancement'!AO150</f>
        <v>0</v>
      </c>
      <c r="V638" s="1">
        <f>'F-3 Off-Site WaterC Enhancement'!AT147</f>
        <v>0</v>
      </c>
    </row>
    <row r="639" spans="1:22" x14ac:dyDescent="0.3">
      <c r="A639" s="757">
        <f>'D-3 Off-Site Habitat Enhancment'!AU150</f>
        <v>0</v>
      </c>
      <c r="M639" s="757">
        <f>'E-3 Off-Site Hedge Enhancement'!AO151</f>
        <v>0</v>
      </c>
      <c r="V639" s="1">
        <f>'F-3 Off-Site WaterC Enhancement'!AT148</f>
        <v>0</v>
      </c>
    </row>
    <row r="640" spans="1:22" x14ac:dyDescent="0.3">
      <c r="A640" s="757">
        <f>'D-3 Off-Site Habitat Enhancment'!AU151</f>
        <v>0</v>
      </c>
      <c r="M640" s="757">
        <f>'E-3 Off-Site Hedge Enhancement'!AO152</f>
        <v>0</v>
      </c>
      <c r="V640" s="1">
        <f>'F-3 Off-Site WaterC Enhancement'!AT149</f>
        <v>0</v>
      </c>
    </row>
    <row r="641" spans="1:22" x14ac:dyDescent="0.3">
      <c r="A641" s="757">
        <f>'D-3 Off-Site Habitat Enhancment'!AU152</f>
        <v>0</v>
      </c>
      <c r="M641" s="757">
        <f>'E-3 Off-Site Hedge Enhancement'!AO153</f>
        <v>0</v>
      </c>
      <c r="V641" s="1">
        <f>'F-3 Off-Site WaterC Enhancement'!AT150</f>
        <v>0</v>
      </c>
    </row>
    <row r="642" spans="1:22" x14ac:dyDescent="0.3">
      <c r="A642" s="757">
        <f>'D-3 Off-Site Habitat Enhancment'!AU153</f>
        <v>0</v>
      </c>
      <c r="M642" s="757">
        <f>'E-3 Off-Site Hedge Enhancement'!AO154</f>
        <v>0</v>
      </c>
      <c r="V642" s="1">
        <f>'F-3 Off-Site WaterC Enhancement'!AT151</f>
        <v>0</v>
      </c>
    </row>
    <row r="643" spans="1:22" x14ac:dyDescent="0.3">
      <c r="A643" s="757">
        <f>'D-3 Off-Site Habitat Enhancment'!AU154</f>
        <v>0</v>
      </c>
      <c r="M643" s="757">
        <f>'E-3 Off-Site Hedge Enhancement'!AO155</f>
        <v>0</v>
      </c>
      <c r="V643" s="1">
        <f>'F-3 Off-Site WaterC Enhancement'!AT152</f>
        <v>0</v>
      </c>
    </row>
    <row r="644" spans="1:22" x14ac:dyDescent="0.3">
      <c r="A644" s="757">
        <f>'D-3 Off-Site Habitat Enhancment'!AU155</f>
        <v>0</v>
      </c>
      <c r="M644" s="757">
        <f>'E-3 Off-Site Hedge Enhancement'!AO156</f>
        <v>0</v>
      </c>
      <c r="V644" s="1">
        <f>'F-3 Off-Site WaterC Enhancement'!AT153</f>
        <v>0</v>
      </c>
    </row>
    <row r="645" spans="1:22" x14ac:dyDescent="0.3">
      <c r="A645" s="757">
        <f>'D-3 Off-Site Habitat Enhancment'!AU156</f>
        <v>0</v>
      </c>
      <c r="M645" s="757">
        <f>'E-3 Off-Site Hedge Enhancement'!AO157</f>
        <v>0</v>
      </c>
      <c r="V645" s="1">
        <f>'F-3 Off-Site WaterC Enhancement'!AT154</f>
        <v>0</v>
      </c>
    </row>
    <row r="646" spans="1:22" x14ac:dyDescent="0.3">
      <c r="A646" s="757">
        <f>'D-3 Off-Site Habitat Enhancment'!AU157</f>
        <v>0</v>
      </c>
      <c r="M646" s="757">
        <f>'E-3 Off-Site Hedge Enhancement'!AO158</f>
        <v>0</v>
      </c>
      <c r="V646" s="1">
        <f>'F-3 Off-Site WaterC Enhancement'!AT155</f>
        <v>0</v>
      </c>
    </row>
    <row r="647" spans="1:22" x14ac:dyDescent="0.3">
      <c r="A647" s="757">
        <f>'D-3 Off-Site Habitat Enhancment'!AU158</f>
        <v>0</v>
      </c>
      <c r="M647" s="757">
        <f>'E-3 Off-Site Hedge Enhancement'!AO159</f>
        <v>0</v>
      </c>
      <c r="V647" s="1">
        <f>'F-3 Off-Site WaterC Enhancement'!AT156</f>
        <v>0</v>
      </c>
    </row>
    <row r="648" spans="1:22" x14ac:dyDescent="0.3">
      <c r="A648" s="757">
        <f>'D-3 Off-Site Habitat Enhancment'!AU159</f>
        <v>0</v>
      </c>
      <c r="M648" s="757">
        <f>'E-3 Off-Site Hedge Enhancement'!AO160</f>
        <v>0</v>
      </c>
      <c r="V648" s="1">
        <f>'F-3 Off-Site WaterC Enhancement'!AT157</f>
        <v>0</v>
      </c>
    </row>
    <row r="649" spans="1:22" x14ac:dyDescent="0.3">
      <c r="A649" s="757">
        <f>'D-3 Off-Site Habitat Enhancment'!AU160</f>
        <v>0</v>
      </c>
      <c r="M649" s="757">
        <f>'E-3 Off-Site Hedge Enhancement'!AO161</f>
        <v>0</v>
      </c>
      <c r="V649" s="1">
        <f>'F-3 Off-Site WaterC Enhancement'!AT158</f>
        <v>0</v>
      </c>
    </row>
    <row r="650" spans="1:22" x14ac:dyDescent="0.3">
      <c r="A650" s="757">
        <f>'D-3 Off-Site Habitat Enhancment'!AU161</f>
        <v>0</v>
      </c>
      <c r="M650" s="757">
        <f>'E-3 Off-Site Hedge Enhancement'!AO162</f>
        <v>0</v>
      </c>
      <c r="V650" s="1">
        <f>'F-3 Off-Site WaterC Enhancement'!AT159</f>
        <v>0</v>
      </c>
    </row>
    <row r="651" spans="1:22" x14ac:dyDescent="0.3">
      <c r="A651" s="757">
        <f>'D-3 Off-Site Habitat Enhancment'!AU162</f>
        <v>0</v>
      </c>
      <c r="M651" s="757">
        <f>'E-3 Off-Site Hedge Enhancement'!AO163</f>
        <v>0</v>
      </c>
      <c r="V651" s="1">
        <f>'F-3 Off-Site WaterC Enhancement'!AT160</f>
        <v>0</v>
      </c>
    </row>
    <row r="652" spans="1:22" x14ac:dyDescent="0.3">
      <c r="A652" s="757">
        <f>'D-3 Off-Site Habitat Enhancment'!AU163</f>
        <v>0</v>
      </c>
      <c r="M652" s="757">
        <f>'E-3 Off-Site Hedge Enhancement'!AO164</f>
        <v>0</v>
      </c>
      <c r="V652" s="1">
        <f>'F-3 Off-Site WaterC Enhancement'!AT161</f>
        <v>0</v>
      </c>
    </row>
    <row r="653" spans="1:22" x14ac:dyDescent="0.3">
      <c r="A653" s="757">
        <f>'D-3 Off-Site Habitat Enhancment'!AU164</f>
        <v>0</v>
      </c>
      <c r="M653" s="757">
        <f>'E-3 Off-Site Hedge Enhancement'!AO165</f>
        <v>0</v>
      </c>
      <c r="V653" s="1">
        <f>'F-3 Off-Site WaterC Enhancement'!AT162</f>
        <v>0</v>
      </c>
    </row>
    <row r="654" spans="1:22" x14ac:dyDescent="0.3">
      <c r="A654" s="757">
        <f>'D-3 Off-Site Habitat Enhancment'!AU165</f>
        <v>0</v>
      </c>
      <c r="M654" s="757">
        <f>'E-3 Off-Site Hedge Enhancement'!AO166</f>
        <v>0</v>
      </c>
      <c r="V654" s="1">
        <f>'F-3 Off-Site WaterC Enhancement'!AT163</f>
        <v>0</v>
      </c>
    </row>
    <row r="655" spans="1:22" x14ac:dyDescent="0.3">
      <c r="A655" s="757">
        <f>'D-3 Off-Site Habitat Enhancment'!AU166</f>
        <v>0</v>
      </c>
      <c r="M655" s="757">
        <f>'E-3 Off-Site Hedge Enhancement'!AO167</f>
        <v>0</v>
      </c>
      <c r="V655" s="1">
        <f>'F-3 Off-Site WaterC Enhancement'!AT164</f>
        <v>0</v>
      </c>
    </row>
    <row r="656" spans="1:22" x14ac:dyDescent="0.3">
      <c r="A656" s="757">
        <f>'D-3 Off-Site Habitat Enhancment'!AU167</f>
        <v>0</v>
      </c>
      <c r="M656" s="757">
        <f>'E-3 Off-Site Hedge Enhancement'!AO168</f>
        <v>0</v>
      </c>
      <c r="V656" s="1">
        <f>'F-3 Off-Site WaterC Enhancement'!AT165</f>
        <v>0</v>
      </c>
    </row>
    <row r="657" spans="1:22" x14ac:dyDescent="0.3">
      <c r="A657" s="757">
        <f>'D-3 Off-Site Habitat Enhancment'!AU168</f>
        <v>0</v>
      </c>
      <c r="M657" s="757">
        <f>'E-3 Off-Site Hedge Enhancement'!AO169</f>
        <v>0</v>
      </c>
      <c r="V657" s="1">
        <f>'F-3 Off-Site WaterC Enhancement'!AT166</f>
        <v>0</v>
      </c>
    </row>
    <row r="658" spans="1:22" x14ac:dyDescent="0.3">
      <c r="A658" s="757">
        <f>'D-3 Off-Site Habitat Enhancment'!AU169</f>
        <v>0</v>
      </c>
      <c r="M658" s="757">
        <f>'E-3 Off-Site Hedge Enhancement'!AO170</f>
        <v>0</v>
      </c>
      <c r="V658" s="1">
        <f>'F-3 Off-Site WaterC Enhancement'!AT167</f>
        <v>0</v>
      </c>
    </row>
    <row r="659" spans="1:22" x14ac:dyDescent="0.3">
      <c r="A659" s="757">
        <f>'D-3 Off-Site Habitat Enhancment'!AU170</f>
        <v>0</v>
      </c>
      <c r="M659" s="757">
        <f>'E-3 Off-Site Hedge Enhancement'!AO171</f>
        <v>0</v>
      </c>
      <c r="V659" s="1">
        <f>'F-3 Off-Site WaterC Enhancement'!AT168</f>
        <v>0</v>
      </c>
    </row>
    <row r="660" spans="1:22" x14ac:dyDescent="0.3">
      <c r="A660" s="757">
        <f>'D-3 Off-Site Habitat Enhancment'!AU171</f>
        <v>0</v>
      </c>
      <c r="M660" s="757">
        <f>'E-3 Off-Site Hedge Enhancement'!AO172</f>
        <v>0</v>
      </c>
      <c r="V660" s="1">
        <f>'F-3 Off-Site WaterC Enhancement'!AT169</f>
        <v>0</v>
      </c>
    </row>
    <row r="661" spans="1:22" x14ac:dyDescent="0.3">
      <c r="A661" s="757">
        <f>'D-3 Off-Site Habitat Enhancment'!AU172</f>
        <v>0</v>
      </c>
      <c r="M661" s="757">
        <f>'E-3 Off-Site Hedge Enhancement'!AO173</f>
        <v>0</v>
      </c>
      <c r="V661" s="1">
        <f>'F-3 Off-Site WaterC Enhancement'!AT170</f>
        <v>0</v>
      </c>
    </row>
    <row r="662" spans="1:22" x14ac:dyDescent="0.3">
      <c r="A662" s="757">
        <f>'D-3 Off-Site Habitat Enhancment'!AU173</f>
        <v>0</v>
      </c>
      <c r="M662" s="757">
        <f>'E-3 Off-Site Hedge Enhancement'!AO174</f>
        <v>0</v>
      </c>
      <c r="V662" s="1">
        <f>'F-3 Off-Site WaterC Enhancement'!AT171</f>
        <v>0</v>
      </c>
    </row>
    <row r="663" spans="1:22" x14ac:dyDescent="0.3">
      <c r="A663" s="757">
        <f>'D-3 Off-Site Habitat Enhancment'!AU174</f>
        <v>0</v>
      </c>
      <c r="M663" s="757">
        <f>'E-3 Off-Site Hedge Enhancement'!AO175</f>
        <v>0</v>
      </c>
      <c r="V663" s="1">
        <f>'F-3 Off-Site WaterC Enhancement'!AT172</f>
        <v>0</v>
      </c>
    </row>
    <row r="664" spans="1:22" x14ac:dyDescent="0.3">
      <c r="A664" s="757">
        <f>'D-3 Off-Site Habitat Enhancment'!AU175</f>
        <v>0</v>
      </c>
      <c r="M664" s="757">
        <f>'E-3 Off-Site Hedge Enhancement'!AO176</f>
        <v>0</v>
      </c>
      <c r="V664" s="1">
        <f>'F-3 Off-Site WaterC Enhancement'!AT173</f>
        <v>0</v>
      </c>
    </row>
    <row r="665" spans="1:22" x14ac:dyDescent="0.3">
      <c r="A665" s="757">
        <f>'D-3 Off-Site Habitat Enhancment'!AU176</f>
        <v>0</v>
      </c>
      <c r="M665" s="757">
        <f>'E-3 Off-Site Hedge Enhancement'!AO177</f>
        <v>0</v>
      </c>
      <c r="V665" s="1">
        <f>'F-3 Off-Site WaterC Enhancement'!AT174</f>
        <v>0</v>
      </c>
    </row>
    <row r="666" spans="1:22" x14ac:dyDescent="0.3">
      <c r="A666" s="757">
        <f>'D-3 Off-Site Habitat Enhancment'!AU177</f>
        <v>0</v>
      </c>
      <c r="M666" s="757">
        <f>'E-3 Off-Site Hedge Enhancement'!AO178</f>
        <v>0</v>
      </c>
      <c r="V666" s="1">
        <f>'F-3 Off-Site WaterC Enhancement'!AT175</f>
        <v>0</v>
      </c>
    </row>
    <row r="667" spans="1:22" x14ac:dyDescent="0.3">
      <c r="A667" s="757">
        <f>'D-3 Off-Site Habitat Enhancment'!AU178</f>
        <v>0</v>
      </c>
      <c r="M667" s="757">
        <f>'E-3 Off-Site Hedge Enhancement'!AO179</f>
        <v>0</v>
      </c>
      <c r="V667" s="1">
        <f>'F-3 Off-Site WaterC Enhancement'!AT176</f>
        <v>0</v>
      </c>
    </row>
    <row r="668" spans="1:22" x14ac:dyDescent="0.3">
      <c r="A668" s="757">
        <f>'D-3 Off-Site Habitat Enhancment'!AU179</f>
        <v>0</v>
      </c>
      <c r="M668" s="757">
        <f>'E-3 Off-Site Hedge Enhancement'!AO180</f>
        <v>0</v>
      </c>
      <c r="V668" s="1">
        <f>'F-3 Off-Site WaterC Enhancement'!AT177</f>
        <v>0</v>
      </c>
    </row>
    <row r="669" spans="1:22" x14ac:dyDescent="0.3">
      <c r="A669" s="757">
        <f>'D-3 Off-Site Habitat Enhancment'!AU180</f>
        <v>0</v>
      </c>
      <c r="M669" s="757">
        <f>'E-3 Off-Site Hedge Enhancement'!AO181</f>
        <v>0</v>
      </c>
      <c r="V669" s="1">
        <f>'F-3 Off-Site WaterC Enhancement'!AT178</f>
        <v>0</v>
      </c>
    </row>
    <row r="670" spans="1:22" x14ac:dyDescent="0.3">
      <c r="A670" s="757">
        <f>'D-3 Off-Site Habitat Enhancment'!AU181</f>
        <v>0</v>
      </c>
      <c r="M670" s="757">
        <f>'E-3 Off-Site Hedge Enhancement'!AO182</f>
        <v>0</v>
      </c>
      <c r="V670" s="1">
        <f>'F-3 Off-Site WaterC Enhancement'!AT179</f>
        <v>0</v>
      </c>
    </row>
    <row r="671" spans="1:22" x14ac:dyDescent="0.3">
      <c r="A671" s="757">
        <f>'D-3 Off-Site Habitat Enhancment'!AU182</f>
        <v>0</v>
      </c>
      <c r="M671" s="757">
        <f>'E-3 Off-Site Hedge Enhancement'!AO183</f>
        <v>0</v>
      </c>
      <c r="V671" s="1">
        <f>'F-3 Off-Site WaterC Enhancement'!AT180</f>
        <v>0</v>
      </c>
    </row>
    <row r="672" spans="1:22" x14ac:dyDescent="0.3">
      <c r="A672" s="757">
        <f>'D-3 Off-Site Habitat Enhancment'!AU183</f>
        <v>0</v>
      </c>
      <c r="M672" s="757">
        <f>'E-3 Off-Site Hedge Enhancement'!AO184</f>
        <v>0</v>
      </c>
      <c r="V672" s="1">
        <f>'F-3 Off-Site WaterC Enhancement'!AT181</f>
        <v>0</v>
      </c>
    </row>
    <row r="673" spans="1:22" x14ac:dyDescent="0.3">
      <c r="A673" s="757">
        <f>'D-3 Off-Site Habitat Enhancment'!AU184</f>
        <v>0</v>
      </c>
      <c r="M673" s="757">
        <f>'E-3 Off-Site Hedge Enhancement'!AO185</f>
        <v>0</v>
      </c>
      <c r="V673" s="1">
        <f>'F-3 Off-Site WaterC Enhancement'!AT182</f>
        <v>0</v>
      </c>
    </row>
    <row r="674" spans="1:22" x14ac:dyDescent="0.3">
      <c r="A674" s="757">
        <f>'D-3 Off-Site Habitat Enhancment'!AU185</f>
        <v>0</v>
      </c>
      <c r="M674" s="757">
        <f>'E-3 Off-Site Hedge Enhancement'!AO186</f>
        <v>0</v>
      </c>
      <c r="V674" s="1">
        <f>'F-3 Off-Site WaterC Enhancement'!AT183</f>
        <v>0</v>
      </c>
    </row>
    <row r="675" spans="1:22" x14ac:dyDescent="0.3">
      <c r="A675" s="757">
        <f>'D-3 Off-Site Habitat Enhancment'!AU186</f>
        <v>0</v>
      </c>
      <c r="M675" s="757">
        <f>'E-3 Off-Site Hedge Enhancement'!AO187</f>
        <v>0</v>
      </c>
      <c r="V675" s="1">
        <f>'F-3 Off-Site WaterC Enhancement'!AT184</f>
        <v>0</v>
      </c>
    </row>
    <row r="676" spans="1:22" x14ac:dyDescent="0.3">
      <c r="A676" s="757">
        <f>'D-3 Off-Site Habitat Enhancment'!AU187</f>
        <v>0</v>
      </c>
      <c r="M676" s="757">
        <f>'E-3 Off-Site Hedge Enhancement'!AO188</f>
        <v>0</v>
      </c>
      <c r="V676" s="1">
        <f>'F-3 Off-Site WaterC Enhancement'!AT185</f>
        <v>0</v>
      </c>
    </row>
    <row r="677" spans="1:22" x14ac:dyDescent="0.3">
      <c r="A677" s="757">
        <f>'D-3 Off-Site Habitat Enhancment'!AU188</f>
        <v>0</v>
      </c>
      <c r="M677" s="757">
        <f>'E-3 Off-Site Hedge Enhancement'!AO189</f>
        <v>0</v>
      </c>
      <c r="V677" s="1">
        <f>'F-3 Off-Site WaterC Enhancement'!AT186</f>
        <v>0</v>
      </c>
    </row>
    <row r="678" spans="1:22" x14ac:dyDescent="0.3">
      <c r="A678" s="757">
        <f>'D-3 Off-Site Habitat Enhancment'!AU189</f>
        <v>0</v>
      </c>
      <c r="M678" s="757">
        <f>'E-3 Off-Site Hedge Enhancement'!AO190</f>
        <v>0</v>
      </c>
      <c r="V678" s="1">
        <f>'F-3 Off-Site WaterC Enhancement'!AT187</f>
        <v>0</v>
      </c>
    </row>
    <row r="679" spans="1:22" x14ac:dyDescent="0.3">
      <c r="A679" s="757">
        <f>'D-3 Off-Site Habitat Enhancment'!AU190</f>
        <v>0</v>
      </c>
      <c r="M679" s="757">
        <f>'E-3 Off-Site Hedge Enhancement'!AO191</f>
        <v>0</v>
      </c>
      <c r="V679" s="1">
        <f>'F-3 Off-Site WaterC Enhancement'!AT188</f>
        <v>0</v>
      </c>
    </row>
    <row r="680" spans="1:22" x14ac:dyDescent="0.3">
      <c r="A680" s="757">
        <f>'D-3 Off-Site Habitat Enhancment'!AU191</f>
        <v>0</v>
      </c>
      <c r="M680" s="757">
        <f>'E-3 Off-Site Hedge Enhancement'!AO192</f>
        <v>0</v>
      </c>
      <c r="V680" s="1">
        <f>'F-3 Off-Site WaterC Enhancement'!AT189</f>
        <v>0</v>
      </c>
    </row>
    <row r="681" spans="1:22" x14ac:dyDescent="0.3">
      <c r="A681" s="757">
        <f>'D-3 Off-Site Habitat Enhancment'!AU192</f>
        <v>0</v>
      </c>
      <c r="M681" s="757">
        <f>'E-3 Off-Site Hedge Enhancement'!AO193</f>
        <v>0</v>
      </c>
      <c r="V681" s="1">
        <f>'F-3 Off-Site WaterC Enhancement'!AT190</f>
        <v>0</v>
      </c>
    </row>
    <row r="682" spans="1:22" x14ac:dyDescent="0.3">
      <c r="A682" s="757">
        <f>'D-3 Off-Site Habitat Enhancment'!AU193</f>
        <v>0</v>
      </c>
      <c r="M682" s="757">
        <f>'E-3 Off-Site Hedge Enhancement'!AO194</f>
        <v>0</v>
      </c>
      <c r="V682" s="1">
        <f>'F-3 Off-Site WaterC Enhancement'!AT191</f>
        <v>0</v>
      </c>
    </row>
    <row r="683" spans="1:22" x14ac:dyDescent="0.3">
      <c r="A683" s="757">
        <f>'D-3 Off-Site Habitat Enhancment'!AU194</f>
        <v>0</v>
      </c>
      <c r="M683" s="757">
        <f>'E-3 Off-Site Hedge Enhancement'!AO195</f>
        <v>0</v>
      </c>
      <c r="V683" s="1">
        <f>'F-3 Off-Site WaterC Enhancement'!AT192</f>
        <v>0</v>
      </c>
    </row>
    <row r="684" spans="1:22" x14ac:dyDescent="0.3">
      <c r="A684" s="757">
        <f>'D-3 Off-Site Habitat Enhancment'!AU195</f>
        <v>0</v>
      </c>
      <c r="M684" s="757">
        <f>'E-3 Off-Site Hedge Enhancement'!AO196</f>
        <v>0</v>
      </c>
      <c r="V684" s="1">
        <f>'F-3 Off-Site WaterC Enhancement'!AT193</f>
        <v>0</v>
      </c>
    </row>
    <row r="685" spans="1:22" x14ac:dyDescent="0.3">
      <c r="A685" s="757">
        <f>'D-3 Off-Site Habitat Enhancment'!AU196</f>
        <v>0</v>
      </c>
      <c r="M685" s="757">
        <f>'E-3 Off-Site Hedge Enhancement'!AO197</f>
        <v>0</v>
      </c>
      <c r="V685" s="1">
        <f>'F-3 Off-Site WaterC Enhancement'!AT194</f>
        <v>0</v>
      </c>
    </row>
    <row r="686" spans="1:22" x14ac:dyDescent="0.3">
      <c r="A686" s="757">
        <f>'D-3 Off-Site Habitat Enhancment'!AU197</f>
        <v>0</v>
      </c>
      <c r="M686" s="757">
        <f>'E-3 Off-Site Hedge Enhancement'!AO198</f>
        <v>0</v>
      </c>
      <c r="V686" s="1">
        <f>'F-3 Off-Site WaterC Enhancement'!AT195</f>
        <v>0</v>
      </c>
    </row>
    <row r="687" spans="1:22" x14ac:dyDescent="0.3">
      <c r="A687" s="757">
        <f>'D-3 Off-Site Habitat Enhancment'!AU198</f>
        <v>0</v>
      </c>
      <c r="M687" s="757">
        <f>'E-3 Off-Site Hedge Enhancement'!AO199</f>
        <v>0</v>
      </c>
      <c r="V687" s="1">
        <f>'F-3 Off-Site WaterC Enhancement'!AT196</f>
        <v>0</v>
      </c>
    </row>
    <row r="688" spans="1:22" x14ac:dyDescent="0.3">
      <c r="A688" s="757">
        <f>'D-3 Off-Site Habitat Enhancment'!AU199</f>
        <v>0</v>
      </c>
      <c r="M688" s="757">
        <f>'E-3 Off-Site Hedge Enhancement'!AO200</f>
        <v>0</v>
      </c>
      <c r="V688" s="1">
        <f>'F-3 Off-Site WaterC Enhancement'!AT197</f>
        <v>0</v>
      </c>
    </row>
    <row r="689" spans="1:22" x14ac:dyDescent="0.3">
      <c r="A689" s="757">
        <f>'D-3 Off-Site Habitat Enhancment'!AU200</f>
        <v>0</v>
      </c>
      <c r="M689" s="757">
        <f>'E-3 Off-Site Hedge Enhancement'!AO201</f>
        <v>0</v>
      </c>
      <c r="V689" s="1">
        <f>'F-3 Off-Site WaterC Enhancement'!AT198</f>
        <v>0</v>
      </c>
    </row>
    <row r="690" spans="1:22" x14ac:dyDescent="0.3">
      <c r="A690" s="757">
        <f>'D-3 Off-Site Habitat Enhancment'!AU201</f>
        <v>0</v>
      </c>
      <c r="M690" s="757">
        <f>'E-3 Off-Site Hedge Enhancement'!AO202</f>
        <v>0</v>
      </c>
      <c r="V690" s="1">
        <f>'F-3 Off-Site WaterC Enhancement'!AT199</f>
        <v>0</v>
      </c>
    </row>
    <row r="691" spans="1:22" x14ac:dyDescent="0.3">
      <c r="A691" s="757">
        <f>'D-3 Off-Site Habitat Enhancment'!AU202</f>
        <v>0</v>
      </c>
      <c r="M691" s="757">
        <f>'E-3 Off-Site Hedge Enhancement'!AO203</f>
        <v>0</v>
      </c>
      <c r="V691" s="1">
        <f>'F-3 Off-Site WaterC Enhancement'!AT200</f>
        <v>0</v>
      </c>
    </row>
    <row r="692" spans="1:22" x14ac:dyDescent="0.3">
      <c r="A692" s="757">
        <f>'D-3 Off-Site Habitat Enhancment'!AU203</f>
        <v>0</v>
      </c>
      <c r="M692" s="757">
        <f>'E-3 Off-Site Hedge Enhancement'!AO204</f>
        <v>0</v>
      </c>
      <c r="V692" s="1">
        <f>'F-3 Off-Site WaterC Enhancement'!AT201</f>
        <v>0</v>
      </c>
    </row>
    <row r="693" spans="1:22" x14ac:dyDescent="0.3">
      <c r="A693" s="757">
        <f>'D-3 Off-Site Habitat Enhancment'!AU204</f>
        <v>0</v>
      </c>
      <c r="M693" s="757">
        <f>'E-3 Off-Site Hedge Enhancement'!AO205</f>
        <v>0</v>
      </c>
      <c r="V693" s="1">
        <f>'F-3 Off-Site WaterC Enhancement'!AT202</f>
        <v>0</v>
      </c>
    </row>
    <row r="694" spans="1:22" x14ac:dyDescent="0.3">
      <c r="A694" s="757">
        <f>'D-3 Off-Site Habitat Enhancment'!AU205</f>
        <v>0</v>
      </c>
      <c r="M694" s="757">
        <f>'E-3 Off-Site Hedge Enhancement'!AO206</f>
        <v>0</v>
      </c>
      <c r="V694" s="1">
        <f>'F-3 Off-Site WaterC Enhancement'!AT203</f>
        <v>0</v>
      </c>
    </row>
    <row r="695" spans="1:22" x14ac:dyDescent="0.3">
      <c r="A695" s="757">
        <f>'D-3 Off-Site Habitat Enhancment'!AU206</f>
        <v>0</v>
      </c>
      <c r="M695" s="757">
        <f>'E-3 Off-Site Hedge Enhancement'!AO207</f>
        <v>0</v>
      </c>
      <c r="V695" s="1">
        <f>'F-3 Off-Site WaterC Enhancement'!AT204</f>
        <v>0</v>
      </c>
    </row>
    <row r="696" spans="1:22" x14ac:dyDescent="0.3">
      <c r="A696" s="757">
        <f>'D-3 Off-Site Habitat Enhancment'!AU207</f>
        <v>0</v>
      </c>
      <c r="M696" s="757">
        <f>'E-3 Off-Site Hedge Enhancement'!AO208</f>
        <v>0</v>
      </c>
      <c r="V696" s="1">
        <f>'F-3 Off-Site WaterC Enhancement'!AT205</f>
        <v>0</v>
      </c>
    </row>
    <row r="697" spans="1:22" x14ac:dyDescent="0.3">
      <c r="A697" s="757">
        <f>'D-3 Off-Site Habitat Enhancment'!AU208</f>
        <v>0</v>
      </c>
      <c r="M697" s="757">
        <f>'E-3 Off-Site Hedge Enhancement'!AO209</f>
        <v>0</v>
      </c>
      <c r="V697" s="1">
        <f>'F-3 Off-Site WaterC Enhancement'!AT206</f>
        <v>0</v>
      </c>
    </row>
    <row r="698" spans="1:22" x14ac:dyDescent="0.3">
      <c r="A698" s="757">
        <f>'D-3 Off-Site Habitat Enhancment'!AU209</f>
        <v>0</v>
      </c>
      <c r="M698" s="757">
        <f>'E-3 Off-Site Hedge Enhancement'!AO210</f>
        <v>0</v>
      </c>
      <c r="V698" s="1">
        <f>'F-3 Off-Site WaterC Enhancement'!AT207</f>
        <v>0</v>
      </c>
    </row>
    <row r="699" spans="1:22" x14ac:dyDescent="0.3">
      <c r="A699" s="757">
        <f>'D-3 Off-Site Habitat Enhancment'!AU210</f>
        <v>0</v>
      </c>
      <c r="M699" s="757">
        <f>'E-3 Off-Site Hedge Enhancement'!AO211</f>
        <v>0</v>
      </c>
      <c r="V699" s="1">
        <f>'F-3 Off-Site WaterC Enhancement'!AT208</f>
        <v>0</v>
      </c>
    </row>
    <row r="700" spans="1:22" x14ac:dyDescent="0.3">
      <c r="A700" s="757">
        <f>'D-3 Off-Site Habitat Enhancment'!AU211</f>
        <v>0</v>
      </c>
      <c r="M700" s="757">
        <f>'E-3 Off-Site Hedge Enhancement'!AO212</f>
        <v>0</v>
      </c>
      <c r="V700" s="1">
        <f>'F-3 Off-Site WaterC Enhancement'!AT209</f>
        <v>0</v>
      </c>
    </row>
    <row r="701" spans="1:22" x14ac:dyDescent="0.3">
      <c r="A701" s="757">
        <f>'D-3 Off-Site Habitat Enhancment'!AU212</f>
        <v>0</v>
      </c>
      <c r="M701" s="757">
        <f>'E-3 Off-Site Hedge Enhancement'!AO213</f>
        <v>0</v>
      </c>
      <c r="V701" s="1">
        <f>'F-3 Off-Site WaterC Enhancement'!AT210</f>
        <v>0</v>
      </c>
    </row>
    <row r="702" spans="1:22" x14ac:dyDescent="0.3">
      <c r="A702" s="757">
        <f>'D-3 Off-Site Habitat Enhancment'!AU213</f>
        <v>0</v>
      </c>
      <c r="M702" s="757">
        <f>'E-3 Off-Site Hedge Enhancement'!AO214</f>
        <v>0</v>
      </c>
      <c r="V702" s="1">
        <f>'F-3 Off-Site WaterC Enhancement'!AT211</f>
        <v>0</v>
      </c>
    </row>
    <row r="703" spans="1:22" x14ac:dyDescent="0.3">
      <c r="A703" s="757">
        <f>'D-3 Off-Site Habitat Enhancment'!AU214</f>
        <v>0</v>
      </c>
      <c r="M703" s="757">
        <f>'E-3 Off-Site Hedge Enhancement'!AO215</f>
        <v>0</v>
      </c>
      <c r="V703" s="1">
        <f>'F-3 Off-Site WaterC Enhancement'!AT212</f>
        <v>0</v>
      </c>
    </row>
    <row r="704" spans="1:22" x14ac:dyDescent="0.3">
      <c r="A704" s="757">
        <f>'D-3 Off-Site Habitat Enhancment'!AU215</f>
        <v>0</v>
      </c>
      <c r="M704" s="757">
        <f>'E-3 Off-Site Hedge Enhancement'!AO216</f>
        <v>0</v>
      </c>
      <c r="V704" s="1">
        <f>'F-3 Off-Site WaterC Enhancement'!AT213</f>
        <v>0</v>
      </c>
    </row>
    <row r="705" spans="1:22" x14ac:dyDescent="0.3">
      <c r="A705" s="757">
        <f>'D-3 Off-Site Habitat Enhancment'!AU216</f>
        <v>0</v>
      </c>
      <c r="M705" s="757">
        <f>'E-3 Off-Site Hedge Enhancement'!AO217</f>
        <v>0</v>
      </c>
      <c r="V705" s="1">
        <f>'F-3 Off-Site WaterC Enhancement'!AT214</f>
        <v>0</v>
      </c>
    </row>
    <row r="706" spans="1:22" x14ac:dyDescent="0.3">
      <c r="A706" s="757">
        <f>'D-3 Off-Site Habitat Enhancment'!AU217</f>
        <v>0</v>
      </c>
      <c r="M706" s="757">
        <f>'E-3 Off-Site Hedge Enhancement'!AO218</f>
        <v>0</v>
      </c>
      <c r="V706" s="1">
        <f>'F-3 Off-Site WaterC Enhancement'!AT215</f>
        <v>0</v>
      </c>
    </row>
    <row r="707" spans="1:22" x14ac:dyDescent="0.3">
      <c r="A707" s="757">
        <f>'D-3 Off-Site Habitat Enhancment'!AU218</f>
        <v>0</v>
      </c>
      <c r="M707" s="757">
        <f>'E-3 Off-Site Hedge Enhancement'!AO219</f>
        <v>0</v>
      </c>
      <c r="V707" s="1">
        <f>'F-3 Off-Site WaterC Enhancement'!AT216</f>
        <v>0</v>
      </c>
    </row>
    <row r="708" spans="1:22" x14ac:dyDescent="0.3">
      <c r="A708" s="757">
        <f>'D-3 Off-Site Habitat Enhancment'!AU219</f>
        <v>0</v>
      </c>
      <c r="M708" s="757">
        <f>'E-3 Off-Site Hedge Enhancement'!AO220</f>
        <v>0</v>
      </c>
      <c r="V708" s="1">
        <f>'F-3 Off-Site WaterC Enhancement'!AT217</f>
        <v>0</v>
      </c>
    </row>
    <row r="709" spans="1:22" x14ac:dyDescent="0.3">
      <c r="A709" s="757">
        <f>'D-3 Off-Site Habitat Enhancment'!AU220</f>
        <v>0</v>
      </c>
      <c r="M709" s="757">
        <f>'E-3 Off-Site Hedge Enhancement'!AO221</f>
        <v>0</v>
      </c>
      <c r="V709" s="1">
        <f>'F-3 Off-Site WaterC Enhancement'!AT218</f>
        <v>0</v>
      </c>
    </row>
    <row r="710" spans="1:22" x14ac:dyDescent="0.3">
      <c r="A710" s="757">
        <f>'D-3 Off-Site Habitat Enhancment'!AU221</f>
        <v>0</v>
      </c>
      <c r="M710" s="757">
        <f>'E-3 Off-Site Hedge Enhancement'!AO222</f>
        <v>0</v>
      </c>
      <c r="V710" s="1">
        <f>'F-3 Off-Site WaterC Enhancement'!AT219</f>
        <v>0</v>
      </c>
    </row>
    <row r="711" spans="1:22" x14ac:dyDescent="0.3">
      <c r="A711" s="757">
        <f>'D-3 Off-Site Habitat Enhancment'!AU222</f>
        <v>0</v>
      </c>
      <c r="M711" s="757">
        <f>'E-3 Off-Site Hedge Enhancement'!AO223</f>
        <v>0</v>
      </c>
      <c r="V711" s="1">
        <f>'F-3 Off-Site WaterC Enhancement'!AT220</f>
        <v>0</v>
      </c>
    </row>
    <row r="712" spans="1:22" x14ac:dyDescent="0.3">
      <c r="A712" s="757">
        <f>'D-3 Off-Site Habitat Enhancment'!AU223</f>
        <v>0</v>
      </c>
      <c r="M712" s="757">
        <f>'E-3 Off-Site Hedge Enhancement'!AO224</f>
        <v>0</v>
      </c>
      <c r="V712" s="1">
        <f>'F-3 Off-Site WaterC Enhancement'!AT221</f>
        <v>0</v>
      </c>
    </row>
    <row r="713" spans="1:22" x14ac:dyDescent="0.3">
      <c r="A713" s="757">
        <f>'D-3 Off-Site Habitat Enhancment'!AU224</f>
        <v>0</v>
      </c>
      <c r="M713" s="757">
        <f>'E-3 Off-Site Hedge Enhancement'!AO225</f>
        <v>0</v>
      </c>
      <c r="V713" s="1">
        <f>'F-3 Off-Site WaterC Enhancement'!AT222</f>
        <v>0</v>
      </c>
    </row>
    <row r="714" spans="1:22" x14ac:dyDescent="0.3">
      <c r="A714" s="757">
        <f>'D-3 Off-Site Habitat Enhancment'!AU225</f>
        <v>0</v>
      </c>
      <c r="M714" s="757">
        <f>'E-3 Off-Site Hedge Enhancement'!AO226</f>
        <v>0</v>
      </c>
      <c r="V714" s="1">
        <f>'F-3 Off-Site WaterC Enhancement'!AT223</f>
        <v>0</v>
      </c>
    </row>
    <row r="715" spans="1:22" x14ac:dyDescent="0.3">
      <c r="A715" s="757">
        <f>'D-3 Off-Site Habitat Enhancment'!AU226</f>
        <v>0</v>
      </c>
      <c r="M715" s="757">
        <f>'E-3 Off-Site Hedge Enhancement'!AO227</f>
        <v>0</v>
      </c>
      <c r="V715" s="1">
        <f>'F-3 Off-Site WaterC Enhancement'!AT224</f>
        <v>0</v>
      </c>
    </row>
    <row r="716" spans="1:22" x14ac:dyDescent="0.3">
      <c r="A716" s="757">
        <f>'D-3 Off-Site Habitat Enhancment'!AU227</f>
        <v>0</v>
      </c>
      <c r="M716" s="757">
        <f>'E-3 Off-Site Hedge Enhancement'!AO228</f>
        <v>0</v>
      </c>
      <c r="V716" s="1">
        <f>'F-3 Off-Site WaterC Enhancement'!AT225</f>
        <v>0</v>
      </c>
    </row>
    <row r="717" spans="1:22" x14ac:dyDescent="0.3">
      <c r="A717" s="757">
        <f>'D-3 Off-Site Habitat Enhancment'!AU228</f>
        <v>0</v>
      </c>
      <c r="M717" s="757">
        <f>'E-3 Off-Site Hedge Enhancement'!AO229</f>
        <v>0</v>
      </c>
      <c r="V717" s="1">
        <f>'F-3 Off-Site WaterC Enhancement'!AT226</f>
        <v>0</v>
      </c>
    </row>
    <row r="718" spans="1:22" x14ac:dyDescent="0.3">
      <c r="A718" s="757">
        <f>'D-3 Off-Site Habitat Enhancment'!AU229</f>
        <v>0</v>
      </c>
      <c r="M718" s="757">
        <f>'E-3 Off-Site Hedge Enhancement'!AO230</f>
        <v>0</v>
      </c>
      <c r="V718" s="1">
        <f>'F-3 Off-Site WaterC Enhancement'!AT227</f>
        <v>0</v>
      </c>
    </row>
    <row r="719" spans="1:22" x14ac:dyDescent="0.3">
      <c r="A719" s="757">
        <f>'D-3 Off-Site Habitat Enhancment'!AU230</f>
        <v>0</v>
      </c>
      <c r="M719" s="757">
        <f>'E-3 Off-Site Hedge Enhancement'!AO231</f>
        <v>0</v>
      </c>
      <c r="V719" s="1">
        <f>'F-3 Off-Site WaterC Enhancement'!AT228</f>
        <v>0</v>
      </c>
    </row>
    <row r="720" spans="1:22" x14ac:dyDescent="0.3">
      <c r="A720" s="757">
        <f>'D-3 Off-Site Habitat Enhancment'!AU231</f>
        <v>0</v>
      </c>
      <c r="M720" s="757">
        <f>'E-3 Off-Site Hedge Enhancement'!AO232</f>
        <v>0</v>
      </c>
      <c r="V720" s="1">
        <f>'F-3 Off-Site WaterC Enhancement'!AT229</f>
        <v>0</v>
      </c>
    </row>
    <row r="721" spans="1:22" x14ac:dyDescent="0.3">
      <c r="A721" s="757">
        <f>'D-3 Off-Site Habitat Enhancment'!AU232</f>
        <v>0</v>
      </c>
      <c r="M721" s="757">
        <f>'E-3 Off-Site Hedge Enhancement'!AO233</f>
        <v>0</v>
      </c>
      <c r="V721" s="1">
        <f>'F-3 Off-Site WaterC Enhancement'!AT230</f>
        <v>0</v>
      </c>
    </row>
    <row r="722" spans="1:22" x14ac:dyDescent="0.3">
      <c r="A722" s="757">
        <f>'D-3 Off-Site Habitat Enhancment'!AU233</f>
        <v>0</v>
      </c>
      <c r="M722" s="757">
        <f>'E-3 Off-Site Hedge Enhancement'!AO234</f>
        <v>0</v>
      </c>
      <c r="V722" s="1">
        <f>'F-3 Off-Site WaterC Enhancement'!AT231</f>
        <v>0</v>
      </c>
    </row>
    <row r="723" spans="1:22" x14ac:dyDescent="0.3">
      <c r="A723" s="757">
        <f>'D-3 Off-Site Habitat Enhancment'!AU234</f>
        <v>0</v>
      </c>
      <c r="M723" s="757">
        <f>'E-3 Off-Site Hedge Enhancement'!AO235</f>
        <v>0</v>
      </c>
      <c r="V723" s="1">
        <f>'F-3 Off-Site WaterC Enhancement'!AT232</f>
        <v>0</v>
      </c>
    </row>
    <row r="724" spans="1:22" x14ac:dyDescent="0.3">
      <c r="A724" s="757">
        <f>'D-3 Off-Site Habitat Enhancment'!AU235</f>
        <v>0</v>
      </c>
      <c r="M724" s="757">
        <f>'E-3 Off-Site Hedge Enhancement'!AO236</f>
        <v>0</v>
      </c>
      <c r="V724" s="1">
        <f>'F-3 Off-Site WaterC Enhancement'!AT233</f>
        <v>0</v>
      </c>
    </row>
    <row r="725" spans="1:22" x14ac:dyDescent="0.3">
      <c r="A725" s="757">
        <f>'D-3 Off-Site Habitat Enhancment'!AU236</f>
        <v>0</v>
      </c>
      <c r="M725" s="757">
        <f>'E-3 Off-Site Hedge Enhancement'!AO237</f>
        <v>0</v>
      </c>
      <c r="V725" s="1">
        <f>'F-3 Off-Site WaterC Enhancement'!AT234</f>
        <v>0</v>
      </c>
    </row>
    <row r="726" spans="1:22" x14ac:dyDescent="0.3">
      <c r="A726" s="757">
        <f>'D-3 Off-Site Habitat Enhancment'!AU237</f>
        <v>0</v>
      </c>
      <c r="M726" s="757">
        <f>'E-3 Off-Site Hedge Enhancement'!AO238</f>
        <v>0</v>
      </c>
      <c r="V726" s="1">
        <f>'F-3 Off-Site WaterC Enhancement'!AT235</f>
        <v>0</v>
      </c>
    </row>
    <row r="727" spans="1:22" x14ac:dyDescent="0.3">
      <c r="A727" s="757">
        <f>'D-3 Off-Site Habitat Enhancment'!AU238</f>
        <v>0</v>
      </c>
      <c r="M727" s="757">
        <f>'E-3 Off-Site Hedge Enhancement'!AO239</f>
        <v>0</v>
      </c>
      <c r="V727" s="1">
        <f>'F-3 Off-Site WaterC Enhancement'!AT236</f>
        <v>0</v>
      </c>
    </row>
    <row r="728" spans="1:22" x14ac:dyDescent="0.3">
      <c r="A728" s="757">
        <f>'D-3 Off-Site Habitat Enhancment'!AU239</f>
        <v>0</v>
      </c>
      <c r="M728" s="757">
        <f>'E-3 Off-Site Hedge Enhancement'!AO240</f>
        <v>0</v>
      </c>
      <c r="V728" s="1">
        <f>'F-3 Off-Site WaterC Enhancement'!AT237</f>
        <v>0</v>
      </c>
    </row>
    <row r="729" spans="1:22" x14ac:dyDescent="0.3">
      <c r="A729" s="757">
        <f>'D-3 Off-Site Habitat Enhancment'!AU240</f>
        <v>0</v>
      </c>
      <c r="M729" s="757">
        <f>'E-3 Off-Site Hedge Enhancement'!AO241</f>
        <v>0</v>
      </c>
      <c r="V729" s="1">
        <f>'F-3 Off-Site WaterC Enhancement'!AT238</f>
        <v>0</v>
      </c>
    </row>
    <row r="730" spans="1:22" x14ac:dyDescent="0.3">
      <c r="A730" s="757">
        <f>'D-3 Off-Site Habitat Enhancment'!AU241</f>
        <v>0</v>
      </c>
      <c r="M730" s="757">
        <f>'E-3 Off-Site Hedge Enhancement'!AO242</f>
        <v>0</v>
      </c>
      <c r="V730" s="1">
        <f>'F-3 Off-Site WaterC Enhancement'!AT239</f>
        <v>0</v>
      </c>
    </row>
    <row r="731" spans="1:22" x14ac:dyDescent="0.3">
      <c r="A731" s="757">
        <f>'D-3 Off-Site Habitat Enhancment'!AU242</f>
        <v>0</v>
      </c>
      <c r="M731" s="757">
        <f>'E-3 Off-Site Hedge Enhancement'!AO243</f>
        <v>0</v>
      </c>
      <c r="V731" s="1">
        <f>'F-3 Off-Site WaterC Enhancement'!AT240</f>
        <v>0</v>
      </c>
    </row>
    <row r="732" spans="1:22" x14ac:dyDescent="0.3">
      <c r="A732" s="757">
        <f>'D-3 Off-Site Habitat Enhancment'!AU243</f>
        <v>0</v>
      </c>
      <c r="M732" s="757">
        <f>'E-3 Off-Site Hedge Enhancement'!AO244</f>
        <v>0</v>
      </c>
      <c r="V732" s="1">
        <f>'F-3 Off-Site WaterC Enhancement'!AT241</f>
        <v>0</v>
      </c>
    </row>
    <row r="733" spans="1:22" x14ac:dyDescent="0.3">
      <c r="A733" s="757">
        <f>'D-3 Off-Site Habitat Enhancment'!AU244</f>
        <v>0</v>
      </c>
      <c r="M733" s="757">
        <f>'E-3 Off-Site Hedge Enhancement'!AO245</f>
        <v>0</v>
      </c>
      <c r="V733" s="1">
        <f>'F-3 Off-Site WaterC Enhancement'!AT242</f>
        <v>0</v>
      </c>
    </row>
    <row r="734" spans="1:22" x14ac:dyDescent="0.3">
      <c r="A734" s="757">
        <f>'D-3 Off-Site Habitat Enhancment'!AU245</f>
        <v>0</v>
      </c>
      <c r="M734" s="757">
        <f>'E-3 Off-Site Hedge Enhancement'!AO246</f>
        <v>0</v>
      </c>
      <c r="V734" s="1">
        <f>'F-3 Off-Site WaterC Enhancement'!AT243</f>
        <v>0</v>
      </c>
    </row>
    <row r="735" spans="1:22" x14ac:dyDescent="0.3">
      <c r="A735" s="757">
        <f>'D-3 Off-Site Habitat Enhancment'!AU246</f>
        <v>0</v>
      </c>
      <c r="M735" s="757">
        <f>'E-3 Off-Site Hedge Enhancement'!AO247</f>
        <v>0</v>
      </c>
      <c r="V735" s="1">
        <f>'F-3 Off-Site WaterC Enhancement'!AT244</f>
        <v>0</v>
      </c>
    </row>
    <row r="736" spans="1:22" x14ac:dyDescent="0.3">
      <c r="A736" s="757">
        <f>'D-3 Off-Site Habitat Enhancment'!AU247</f>
        <v>0</v>
      </c>
      <c r="M736" s="757">
        <f>'E-3 Off-Site Hedge Enhancement'!AO248</f>
        <v>0</v>
      </c>
      <c r="V736" s="1">
        <f>'F-3 Off-Site WaterC Enhancement'!AT245</f>
        <v>0</v>
      </c>
    </row>
    <row r="737" spans="1:22" x14ac:dyDescent="0.3">
      <c r="A737" s="757">
        <f>'D-3 Off-Site Habitat Enhancment'!AU248</f>
        <v>0</v>
      </c>
      <c r="M737" s="757">
        <f>'E-3 Off-Site Hedge Enhancement'!AO249</f>
        <v>0</v>
      </c>
      <c r="V737" s="1">
        <f>'F-3 Off-Site WaterC Enhancement'!AT246</f>
        <v>0</v>
      </c>
    </row>
    <row r="738" spans="1:22" x14ac:dyDescent="0.3">
      <c r="A738" s="757">
        <f>'D-3 Off-Site Habitat Enhancment'!AU249</f>
        <v>0</v>
      </c>
      <c r="M738" s="757">
        <f>'E-3 Off-Site Hedge Enhancement'!AO250</f>
        <v>0</v>
      </c>
      <c r="V738" s="1">
        <f>'F-3 Off-Site WaterC Enhancement'!AT247</f>
        <v>0</v>
      </c>
    </row>
    <row r="739" spans="1:22" x14ac:dyDescent="0.3">
      <c r="A739" s="757">
        <f>'D-3 Off-Site Habitat Enhancment'!AU250</f>
        <v>0</v>
      </c>
      <c r="M739" s="757">
        <f>'E-3 Off-Site Hedge Enhancement'!AO251</f>
        <v>0</v>
      </c>
      <c r="V739" s="1">
        <f>'F-3 Off-Site WaterC Enhancement'!AT248</f>
        <v>0</v>
      </c>
    </row>
    <row r="740" spans="1:22" x14ac:dyDescent="0.3">
      <c r="A740" s="757">
        <f>'D-3 Off-Site Habitat Enhancment'!AU251</f>
        <v>0</v>
      </c>
      <c r="M740" s="757">
        <f>'E-3 Off-Site Hedge Enhancement'!AO252</f>
        <v>0</v>
      </c>
      <c r="V740" s="1">
        <f>'F-3 Off-Site WaterC Enhancement'!AT249</f>
        <v>0</v>
      </c>
    </row>
    <row r="741" spans="1:22" x14ac:dyDescent="0.3">
      <c r="A741" s="757">
        <f>'D-3 Off-Site Habitat Enhancment'!AU252</f>
        <v>0</v>
      </c>
      <c r="M741" s="757">
        <f>'E-3 Off-Site Hedge Enhancement'!AO253</f>
        <v>0</v>
      </c>
      <c r="V741" s="1">
        <f>'F-3 Off-Site WaterC Enhancement'!AT250</f>
        <v>0</v>
      </c>
    </row>
    <row r="742" spans="1:22" x14ac:dyDescent="0.3">
      <c r="A742" s="757">
        <f>'D-3 Off-Site Habitat Enhancment'!AU253</f>
        <v>0</v>
      </c>
      <c r="M742" s="757">
        <f>'E-3 Off-Site Hedge Enhancement'!AO254</f>
        <v>0</v>
      </c>
      <c r="V742" s="1">
        <f>'F-3 Off-Site WaterC Enhancement'!AT251</f>
        <v>0</v>
      </c>
    </row>
    <row r="743" spans="1:22" x14ac:dyDescent="0.3">
      <c r="A743" s="757">
        <f>'D-3 Off-Site Habitat Enhancment'!AU254</f>
        <v>0</v>
      </c>
      <c r="M743" s="757">
        <f>'E-3 Off-Site Hedge Enhancement'!AO255</f>
        <v>0</v>
      </c>
      <c r="V743" s="1">
        <f>'F-3 Off-Site WaterC Enhancement'!AT252</f>
        <v>0</v>
      </c>
    </row>
    <row r="744" spans="1:22" x14ac:dyDescent="0.3">
      <c r="A744" s="757">
        <f>'D-3 Off-Site Habitat Enhancment'!AU255</f>
        <v>0</v>
      </c>
      <c r="M744" s="757">
        <f>'E-3 Off-Site Hedge Enhancement'!AO256</f>
        <v>0</v>
      </c>
      <c r="V744" s="1">
        <f>'F-3 Off-Site WaterC Enhancement'!AT253</f>
        <v>0</v>
      </c>
    </row>
    <row r="745" spans="1:22" x14ac:dyDescent="0.3">
      <c r="A745" s="757">
        <f>'D-3 Off-Site Habitat Enhancment'!AU256</f>
        <v>0</v>
      </c>
      <c r="M745" s="757">
        <f>'E-3 Off-Site Hedge Enhancement'!AO257</f>
        <v>0</v>
      </c>
      <c r="V745" s="1">
        <f>'F-3 Off-Site WaterC Enhancement'!AT254</f>
        <v>0</v>
      </c>
    </row>
    <row r="746" spans="1:22" x14ac:dyDescent="0.3">
      <c r="A746" s="757">
        <f>'D-3 Off-Site Habitat Enhancment'!AU257</f>
        <v>0</v>
      </c>
      <c r="M746" s="758"/>
      <c r="V746" s="1">
        <f>'F-3 Off-Site WaterC Enhancement'!AT255</f>
        <v>0</v>
      </c>
    </row>
    <row r="747" spans="1:22" x14ac:dyDescent="0.3">
      <c r="A747" s="757">
        <f>'D-3 Off-Site Habitat Enhancment'!AU258</f>
        <v>0</v>
      </c>
      <c r="V747" s="1">
        <f>'F-3 Off-Site WaterC Enhancement'!AT256</f>
        <v>0</v>
      </c>
    </row>
    <row r="748" spans="1:22" x14ac:dyDescent="0.3">
      <c r="A748" s="758"/>
      <c r="V748" s="1">
        <f>'F-3 Off-Site WaterC Enhancement'!AT257</f>
        <v>0</v>
      </c>
    </row>
    <row r="749" spans="1:22" x14ac:dyDescent="0.3">
      <c r="V749" s="721"/>
    </row>
  </sheetData>
  <sheetProtection algorithmName="SHA-512" hashValue="wnmXZkPXWCrAkPZPIwyuLA1aE2eQ8pNMTXXBauYSg3WATgdCAFQK9PqrNp6Ym1P2rfaMmkGC2lH+/nOWidFFmA==" saltValue="oJvQdU+cg09Hm09ODwHEHQ==" spinCount="100000" sheet="1" objects="1" scenarios="1"/>
  <mergeCells count="432">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 ref="N3:U4"/>
    <mergeCell ref="D7:E7"/>
    <mergeCell ref="F7:G7"/>
    <mergeCell ref="H7:I7"/>
    <mergeCell ref="B3:L4"/>
    <mergeCell ref="B5:B6"/>
    <mergeCell ref="D5:E6"/>
    <mergeCell ref="F5:G6"/>
    <mergeCell ref="H5:I6"/>
    <mergeCell ref="C5:C6"/>
    <mergeCell ref="J5:J6"/>
    <mergeCell ref="L5:L6"/>
    <mergeCell ref="K5:K6"/>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107:AF107"/>
    <mergeCell ref="D105:E105"/>
    <mergeCell ref="F105:G105"/>
    <mergeCell ref="H105:I105"/>
    <mergeCell ref="AE105:AF105"/>
    <mergeCell ref="D106:E106"/>
    <mergeCell ref="F106:G106"/>
    <mergeCell ref="H106:I106"/>
    <mergeCell ref="AE106:AF106"/>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006600"/>
  </sheetPr>
  <dimension ref="A1:AT275"/>
  <sheetViews>
    <sheetView showGridLines="0" topLeftCell="N16" zoomScale="70" zoomScaleNormal="70" workbookViewId="0">
      <selection activeCell="Z22" sqref="Z22"/>
    </sheetView>
  </sheetViews>
  <sheetFormatPr defaultColWidth="0" defaultRowHeight="13.8" zeroHeight="1" x14ac:dyDescent="0.25"/>
  <cols>
    <col min="1" max="1" width="9.21875" style="35" hidden="1" customWidth="1"/>
    <col min="2" max="2" width="12.44140625" style="35" hidden="1" customWidth="1"/>
    <col min="3" max="3" width="14.44140625" style="35" hidden="1" customWidth="1"/>
    <col min="4" max="4" width="5.21875" style="37" customWidth="1"/>
    <col min="5" max="5" width="24.21875" style="37" customWidth="1"/>
    <col min="6" max="6" width="72.77734375" style="37" customWidth="1"/>
    <col min="7" max="7" width="25.44140625" style="35" hidden="1" customWidth="1"/>
    <col min="8" max="8" width="14.21875" style="37" customWidth="1"/>
    <col min="9" max="9" width="17.77734375" style="37" customWidth="1"/>
    <col min="10" max="10" width="7.44140625" style="37" customWidth="1"/>
    <col min="11" max="11" width="17.21875" style="37" customWidth="1"/>
    <col min="12" max="12" width="9.5546875" style="37" customWidth="1"/>
    <col min="13" max="13" width="41.77734375" style="37" customWidth="1"/>
    <col min="14" max="14" width="17.44140625" style="37" customWidth="1"/>
    <col min="15" max="15" width="17.21875" style="37" customWidth="1"/>
    <col min="16" max="16" width="30.77734375" style="37" customWidth="1"/>
    <col min="17" max="17" width="18" style="37" bestFit="1" customWidth="1"/>
    <col min="18" max="18" width="6" style="35" customWidth="1"/>
    <col min="19" max="19" width="10.21875" style="37" customWidth="1"/>
    <col min="20" max="20" width="11.44140625" style="37" customWidth="1"/>
    <col min="21" max="21" width="10.21875" style="37" bestFit="1" customWidth="1"/>
    <col min="22" max="22" width="11.77734375" style="37" bestFit="1" customWidth="1"/>
    <col min="23" max="23" width="14.44140625" style="37" customWidth="1"/>
    <col min="24" max="24" width="17" style="37" customWidth="1"/>
    <col min="25" max="25" width="19" style="37" customWidth="1"/>
    <col min="26" max="26" width="50.21875" style="37" customWidth="1"/>
    <col min="27" max="27" width="41.77734375" style="37" customWidth="1"/>
    <col min="28" max="28" width="20.77734375" style="37" customWidth="1"/>
    <col min="29" max="46" width="12.77734375" style="35" hidden="1" customWidth="1"/>
    <col min="47" max="16379" width="12.77734375" style="35" customWidth="1"/>
    <col min="16380" max="16381" width="5.77734375" style="35" customWidth="1"/>
    <col min="16382" max="16382" width="6" style="35" customWidth="1"/>
    <col min="16383" max="16383" width="5.44140625" style="35" customWidth="1"/>
    <col min="16384" max="16384" width="16.21875" style="35" customWidth="1"/>
  </cols>
  <sheetData>
    <row r="1" spans="1:43" ht="14.4" thickBot="1" x14ac:dyDescent="0.3"/>
    <row r="2" spans="1:43" ht="18" thickBot="1" x14ac:dyDescent="0.35">
      <c r="D2" s="1420" t="str">
        <f>CONCATENATE("Project Name:", " ", Start!F12, "     ", "Map Reference:", " ", Start!F55)</f>
        <v xml:space="preserve">Project Name: Grove Farm Solar     Map Reference: </v>
      </c>
      <c r="E2" s="1421"/>
      <c r="F2" s="1422"/>
      <c r="I2" s="1437" t="s">
        <v>262</v>
      </c>
      <c r="J2" s="1438"/>
      <c r="K2" s="1438"/>
      <c r="L2" s="1438"/>
      <c r="M2" s="1439"/>
      <c r="Q2" s="1410" t="str" cm="1">
        <f t="array" ref="Q2">IF(OR(K11:K258 = "Fairly Good", K11:K258 = "Fairly Poor"),"A 'Fairly' Category has been used - check evidence to ensure this is appropriate ⚠", "")</f>
        <v/>
      </c>
      <c r="R2" s="1410"/>
      <c r="S2" s="1410"/>
      <c r="T2" s="1410"/>
      <c r="U2" s="1410"/>
      <c r="V2" s="1410"/>
      <c r="W2" s="1410"/>
      <c r="X2" s="1410"/>
    </row>
    <row r="3" spans="1:43" ht="15.6" customHeight="1" x14ac:dyDescent="0.25">
      <c r="D3" s="1414" t="str">
        <f ca="1">MID(CELL("filename",C1),FIND("]",CELL("filename",C1))+1,256)</f>
        <v>A-1 On-Site Habitat Baseline</v>
      </c>
      <c r="E3" s="1415"/>
      <c r="F3" s="1416"/>
      <c r="I3" s="1432" t="s">
        <v>263</v>
      </c>
      <c r="J3" s="1433"/>
      <c r="K3" s="1433"/>
      <c r="L3" s="1426">
        <f>'Headline Results'!H47</f>
        <v>97.897490402123225</v>
      </c>
      <c r="M3" s="1427"/>
      <c r="N3" s="735"/>
      <c r="Q3" s="1410"/>
      <c r="R3" s="1410"/>
      <c r="S3" s="1410"/>
      <c r="T3" s="1410"/>
      <c r="U3" s="1410"/>
      <c r="V3" s="1410"/>
      <c r="W3" s="1410"/>
      <c r="X3" s="1410"/>
      <c r="AC3" s="35" t="s">
        <v>264</v>
      </c>
      <c r="AD3" s="35" t="s">
        <v>264</v>
      </c>
      <c r="AE3" s="35" t="s">
        <v>264</v>
      </c>
      <c r="AF3" s="35" t="s">
        <v>264</v>
      </c>
      <c r="AG3" s="35" t="s">
        <v>264</v>
      </c>
      <c r="AH3" s="35" t="s">
        <v>264</v>
      </c>
      <c r="AI3" s="35" t="s">
        <v>264</v>
      </c>
      <c r="AJ3" s="35" t="s">
        <v>264</v>
      </c>
      <c r="AK3" s="35" t="s">
        <v>264</v>
      </c>
      <c r="AL3" s="35" t="s">
        <v>264</v>
      </c>
      <c r="AM3" s="35" t="s">
        <v>264</v>
      </c>
      <c r="AN3" s="35" t="s">
        <v>264</v>
      </c>
    </row>
    <row r="4" spans="1:43" ht="15" customHeight="1" thickBot="1" x14ac:dyDescent="0.3">
      <c r="D4" s="1417"/>
      <c r="E4" s="1418"/>
      <c r="F4" s="1419"/>
      <c r="I4" s="1434" t="s">
        <v>265</v>
      </c>
      <c r="J4" s="1435"/>
      <c r="K4" s="1435"/>
      <c r="L4" s="1428">
        <f>'Headline Results'!H51</f>
        <v>1.012467323068333</v>
      </c>
      <c r="M4" s="1429"/>
      <c r="N4" s="735"/>
      <c r="Q4" s="1410"/>
      <c r="R4" s="1410"/>
      <c r="S4" s="1410"/>
      <c r="T4" s="1410"/>
      <c r="U4" s="1410"/>
      <c r="V4" s="1410"/>
      <c r="W4" s="1410"/>
      <c r="X4" s="1410"/>
      <c r="AF4" s="35" t="s">
        <v>266</v>
      </c>
      <c r="AG4" s="35" t="s">
        <v>266</v>
      </c>
      <c r="AH4" s="35" t="s">
        <v>266</v>
      </c>
      <c r="AI4" s="35" t="s">
        <v>266</v>
      </c>
      <c r="AJ4" s="35" t="s">
        <v>266</v>
      </c>
      <c r="AK4" s="35" t="s">
        <v>266</v>
      </c>
      <c r="AL4" s="35" t="s">
        <v>266</v>
      </c>
      <c r="AM4" s="35" t="s">
        <v>266</v>
      </c>
      <c r="AN4" s="35" t="s">
        <v>266</v>
      </c>
    </row>
    <row r="5" spans="1:43" ht="15.6" customHeight="1" thickBot="1" x14ac:dyDescent="0.3">
      <c r="I5" s="1436" t="s">
        <v>267</v>
      </c>
      <c r="J5" s="1430"/>
      <c r="K5" s="1430"/>
      <c r="L5" s="1430" t="str" cm="1">
        <f t="array" ref="L5">IF(OR('Trading Summary Area Habitats'!G5:G8="No ▲"), "No - check trading summaries ▲", "Yes ✓")</f>
        <v>Yes ✓</v>
      </c>
      <c r="M5" s="1431"/>
      <c r="N5" s="735"/>
      <c r="Q5" s="1410"/>
      <c r="R5" s="1410"/>
      <c r="S5" s="1410"/>
      <c r="T5" s="1410"/>
      <c r="U5" s="1410"/>
      <c r="V5" s="1410"/>
      <c r="W5" s="1410"/>
      <c r="X5" s="1410"/>
    </row>
    <row r="6" spans="1:43" ht="16.2" customHeight="1" x14ac:dyDescent="0.25">
      <c r="I6" s="1445" t="str" cm="1">
        <f t="array" ref="I6">IF(OR(E11:E258="watercourse footprint"),"Please ensure the watercourse details for any watercourse footprints recorded are included in the watercourse tabs ⚠","")</f>
        <v/>
      </c>
      <c r="J6" s="1445"/>
      <c r="K6" s="1445"/>
      <c r="L6" s="1445"/>
      <c r="M6" s="1445"/>
    </row>
    <row r="7" spans="1:43" x14ac:dyDescent="0.25">
      <c r="I7" s="1147"/>
      <c r="J7" s="1147"/>
      <c r="K7" s="1147"/>
      <c r="L7" s="1147"/>
      <c r="M7" s="1147"/>
    </row>
    <row r="8" spans="1:43" ht="31.2" customHeight="1" thickBot="1" x14ac:dyDescent="0.3">
      <c r="D8" s="38"/>
      <c r="E8" s="38"/>
      <c r="F8" s="38"/>
      <c r="I8" s="1446"/>
      <c r="J8" s="1446"/>
      <c r="K8" s="1446"/>
      <c r="L8" s="1446"/>
      <c r="M8" s="1446"/>
    </row>
    <row r="9" spans="1:43" ht="29.55" customHeight="1" thickBot="1" x14ac:dyDescent="0.3">
      <c r="D9" s="38"/>
      <c r="E9" s="1423" t="s">
        <v>268</v>
      </c>
      <c r="F9" s="1424"/>
      <c r="G9" s="1424"/>
      <c r="H9" s="1425"/>
      <c r="I9" s="1423" t="s">
        <v>269</v>
      </c>
      <c r="J9" s="1425"/>
      <c r="K9" s="1423" t="s">
        <v>270</v>
      </c>
      <c r="L9" s="1425"/>
      <c r="M9" s="1423" t="s">
        <v>271</v>
      </c>
      <c r="N9" s="1424"/>
      <c r="O9" s="1425"/>
      <c r="P9" s="1443" t="s">
        <v>272</v>
      </c>
      <c r="Q9" s="718" t="s">
        <v>273</v>
      </c>
      <c r="R9" s="39"/>
      <c r="S9" s="1440" t="s">
        <v>274</v>
      </c>
      <c r="T9" s="1441"/>
      <c r="U9" s="1441"/>
      <c r="V9" s="1441"/>
      <c r="W9" s="1441"/>
      <c r="X9" s="1442"/>
      <c r="Y9" s="1443" t="s">
        <v>275</v>
      </c>
      <c r="Z9" s="1440" t="s">
        <v>276</v>
      </c>
      <c r="AA9" s="1441"/>
      <c r="AB9" s="1442"/>
      <c r="AC9" s="35" t="s">
        <v>266</v>
      </c>
      <c r="AD9" s="35" t="s">
        <v>266</v>
      </c>
      <c r="AF9" s="40" t="s">
        <v>277</v>
      </c>
      <c r="AG9" s="40"/>
      <c r="AH9" s="40"/>
      <c r="AI9" s="40"/>
      <c r="AJ9" s="40"/>
      <c r="AK9" s="40" t="s">
        <v>278</v>
      </c>
      <c r="AL9" s="40"/>
      <c r="AM9" s="40"/>
      <c r="AN9" s="40"/>
      <c r="AQ9" s="35" t="s">
        <v>279</v>
      </c>
    </row>
    <row r="10" spans="1:43" ht="44.25" customHeight="1" thickBot="1" x14ac:dyDescent="0.3">
      <c r="B10" s="41" t="s">
        <v>280</v>
      </c>
      <c r="D10" s="44" t="s">
        <v>281</v>
      </c>
      <c r="E10" s="476" t="s">
        <v>282</v>
      </c>
      <c r="F10" s="477" t="s">
        <v>283</v>
      </c>
      <c r="G10" s="728" t="s">
        <v>284</v>
      </c>
      <c r="H10" s="43" t="s">
        <v>285</v>
      </c>
      <c r="I10" s="44" t="s">
        <v>269</v>
      </c>
      <c r="J10" s="43" t="s">
        <v>286</v>
      </c>
      <c r="K10" s="44" t="s">
        <v>270</v>
      </c>
      <c r="L10" s="43" t="s">
        <v>286</v>
      </c>
      <c r="M10" s="44" t="s">
        <v>271</v>
      </c>
      <c r="N10" s="292" t="s">
        <v>271</v>
      </c>
      <c r="O10" s="43" t="s">
        <v>287</v>
      </c>
      <c r="P10" s="1444"/>
      <c r="Q10" s="42" t="s">
        <v>288</v>
      </c>
      <c r="R10" s="39"/>
      <c r="S10" s="45" t="s">
        <v>289</v>
      </c>
      <c r="T10" s="46" t="s">
        <v>290</v>
      </c>
      <c r="U10" s="47" t="s">
        <v>291</v>
      </c>
      <c r="V10" s="47" t="s">
        <v>292</v>
      </c>
      <c r="W10" s="47" t="s">
        <v>293</v>
      </c>
      <c r="X10" s="48" t="s">
        <v>294</v>
      </c>
      <c r="Y10" s="1444"/>
      <c r="Z10" s="49" t="s">
        <v>295</v>
      </c>
      <c r="AA10" s="524" t="s">
        <v>296</v>
      </c>
      <c r="AB10" s="48" t="s">
        <v>297</v>
      </c>
      <c r="AC10" s="733" t="s">
        <v>298</v>
      </c>
      <c r="AD10" s="733" t="s">
        <v>299</v>
      </c>
      <c r="AF10" s="40" t="s">
        <v>300</v>
      </c>
      <c r="AG10" s="40" t="s">
        <v>301</v>
      </c>
      <c r="AH10" s="40" t="s">
        <v>302</v>
      </c>
      <c r="AI10" s="40" t="s">
        <v>303</v>
      </c>
      <c r="AJ10" s="40"/>
      <c r="AK10" s="40" t="s">
        <v>300</v>
      </c>
      <c r="AL10" s="40" t="s">
        <v>301</v>
      </c>
      <c r="AM10" s="40" t="s">
        <v>302</v>
      </c>
      <c r="AN10" s="40"/>
    </row>
    <row r="11" spans="1:43" ht="27.6" x14ac:dyDescent="0.25">
      <c r="A11" s="35" t="str">
        <f>IFERROR(INDEX('G-1 All Habitats'!$AG$3:$AG$17,MATCH(E11,'G-1 All Habitats'!$AF$3:$AF$17,0)),"")</f>
        <v>Cropland</v>
      </c>
      <c r="B11" s="35" t="str">
        <f>IFERROR(INDEX('G-8 Condition Look up'!$I$4:$I$135,MATCH(G11,'G-8 Condition Look up'!$A$4:$A$135,0)),"")</f>
        <v>Cond1</v>
      </c>
      <c r="D11" s="787">
        <v>1</v>
      </c>
      <c r="E11" s="812" t="s">
        <v>124</v>
      </c>
      <c r="F11" s="51" t="s">
        <v>501</v>
      </c>
      <c r="G11" s="788" t="str">
        <f>IFERROR(INDEX('G-1 All Habitats'!$B$3:$B$134,MATCH(F11,'G-1 All Habitats'!$A$3:$A$134,0)),"")</f>
        <v>Cropland - Non-cereal crops</v>
      </c>
      <c r="H11" s="789">
        <f>9.896-0.079</f>
        <v>9.8170000000000002</v>
      </c>
      <c r="I11" s="443" t="str">
        <f>IF(G11="","",VLOOKUP(G11,'G-1 All Habitats'!$B$2:$M$134,10,FALSE))</f>
        <v>Low</v>
      </c>
      <c r="J11" s="790">
        <f>IFERROR(VLOOKUP(I11,'G-1 All Habitats'!$V$3:$W$7,2,FALSE),"")</f>
        <v>2</v>
      </c>
      <c r="K11" s="791" t="s">
        <v>492</v>
      </c>
      <c r="L11" s="790">
        <f>IFERROR(INDEX('G-8 Condition Look up'!$A$3:$H$135,MATCH(G11,'G-8 Condition Look up'!$A$3:$A$135,0),MATCH(K11,'G-8 Condition Look up'!$A$3:$H$3,0)),"")</f>
        <v>1</v>
      </c>
      <c r="M11" s="54" t="s">
        <v>1034</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19.634</v>
      </c>
      <c r="R11" s="36"/>
      <c r="S11" s="791"/>
      <c r="T11" s="801"/>
      <c r="U11" s="802">
        <f>IFERROR(S11*J11*L11*O11,"")</f>
        <v>0</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9.8170000000000002</v>
      </c>
      <c r="X11" s="803">
        <f>IFERROR(IF(H11="","",IF(H11-S11-T11=0&lt;0,"Error in Areas ▲",IF(S11+T11&gt;H11,"Error in Areas ▲",IF(AND(P11='G-1 All Habitats'!$X$3,Y11="Yes"),"Alternative Compensation ✓",IF(W11=0,0,IF(P11='G-1 All Habitats'!$X$3,"Any Loss Unacceptable ▲",Q11-U11-V11)))))),"Check Data ▲")</f>
        <v>19.634</v>
      </c>
      <c r="Y11" s="801"/>
      <c r="Z11" s="56" t="s">
        <v>1723</v>
      </c>
      <c r="AA11" s="525"/>
      <c r="AB11" s="137" t="s">
        <v>829</v>
      </c>
      <c r="AC11" s="726" t="str">
        <f>IF(P11="","",IF(P11='G-1 All Habitats'!$X$3,H11-S11-T11,"None"))</f>
        <v>None</v>
      </c>
      <c r="AD11" s="727" t="str">
        <f>IF(P11="","", IF(P11='G-1 All Habitats'!$X$3, AC11*J11*L11*O11,"None"))</f>
        <v>None</v>
      </c>
      <c r="AF11" s="40" t="b">
        <f t="shared" ref="AF11:AF74" si="0">IF(G11="","",IF(S11&gt;0,TRUE,FALSE))</f>
        <v>0</v>
      </c>
      <c r="AG11" s="40" t="b">
        <f t="shared" ref="AG11:AG74" si="1">IF(H11="","",IF(T11&gt;0,TRUE,FALSE))</f>
        <v>0</v>
      </c>
      <c r="AH11" s="40" t="e">
        <f>IF(I11="","",IF(#REF!&gt;0,TRUE,FALSE))</f>
        <v>#REF!</v>
      </c>
      <c r="AI11" s="40">
        <v>1</v>
      </c>
      <c r="AJ11" s="40"/>
      <c r="AK11" s="40">
        <f t="array" ref="AK11">IFERROR(INDEX($AI$11:$AI$259, MATCH(0, IF(TRUE=$AF$11:$AF$259, COUNTIF($AK$10:$AK10, $AI$11:$AI$259), ""), 0)),"")</f>
        <v>2</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69" x14ac:dyDescent="0.25">
      <c r="A12" s="35" t="str">
        <f>IFERROR(INDEX('G-1 All Habitats'!$AG$3:$AG$17,MATCH(E12,'G-1 All Habitats'!$AF$3:$AF$17,0)),"")</f>
        <v>Cropland</v>
      </c>
      <c r="B12" s="35" t="str">
        <f>IFERROR(INDEX('G-8 Condition Look up'!$I$4:$I$135,MATCH(G12,'G-8 Condition Look up'!$A$4:$A$135,0)),"")</f>
        <v>Cond1</v>
      </c>
      <c r="D12" s="287">
        <v>2</v>
      </c>
      <c r="E12" s="892" t="s">
        <v>124</v>
      </c>
      <c r="F12" s="61" t="s">
        <v>483</v>
      </c>
      <c r="G12" s="52" t="str">
        <f>IFERROR(INDEX('G-1 All Habitats'!$B$3:$B$134,MATCH(F12,'G-1 All Habitats'!$A$3:$A$134,0)),"")</f>
        <v>Cropland - Cereal crops</v>
      </c>
      <c r="H12" s="53">
        <v>0.58299999999999996</v>
      </c>
      <c r="I12" s="362" t="str">
        <f>IF(G12="","",VLOOKUP(G12,'G-1 All Habitats'!$B$2:$M$134,10,FALSE))</f>
        <v>Low</v>
      </c>
      <c r="J12" s="363">
        <f>IFERROR(VLOOKUP(I12,'G-1 All Habitats'!$V$3:$W$7,2,FALSE),"")</f>
        <v>2</v>
      </c>
      <c r="K12" s="54" t="s">
        <v>492</v>
      </c>
      <c r="L12" s="363">
        <f>IFERROR(INDEX('G-8 Condition Look up'!$A$3:$H$135,MATCH(G12,'G-8 Condition Look up'!$A$3:$A$135,0),MATCH(K12,'G-8 Condition Look up'!$A$3:$H$3,0)),"")</f>
        <v>1</v>
      </c>
      <c r="M12" s="54" t="s">
        <v>1034</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1.1659999999999999</v>
      </c>
      <c r="R12" s="38"/>
      <c r="S12" s="54">
        <f>0.053+0.006</f>
        <v>5.8999999999999997E-2</v>
      </c>
      <c r="T12" s="55"/>
      <c r="U12" s="374">
        <f>IFERROR(S12*J12*L12*O12,"")</f>
        <v>0.11799999999999999</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0.52400000000000002</v>
      </c>
      <c r="X12" s="378">
        <f>IFERROR(IF(H12="","",IF(H12-S12-T12=0&lt;0,"Error in Areas ▲",IF(S12+T12&gt;H12,"Error in Areas ▲",IF(AND(P12='G-1 All Habitats'!$X$3,Y12="Yes"),"Alternative Compensation ✓",IF(W12=0,0,IF(P12='G-1 All Habitats'!$X$3,"Any Loss Unacceptable ▲",Q12-U12-V12)))))),"Check Data ▲")</f>
        <v>1.048</v>
      </c>
      <c r="Y12" s="55"/>
      <c r="Z12" s="62" t="s">
        <v>1705</v>
      </c>
      <c r="AA12" s="526"/>
      <c r="AB12" s="120" t="s">
        <v>858</v>
      </c>
      <c r="AC12" s="726" t="str">
        <f>IF(P12="","",IF(P12='G-1 All Habitats'!$X$3,H12-S12-T12,"None"))</f>
        <v>None</v>
      </c>
      <c r="AD12" s="727" t="str">
        <f>IF(P12="","", IF(P12='G-1 All Habitats'!$X$3, AC12*J12*L12*O12,"None"))</f>
        <v>None</v>
      </c>
      <c r="AF12" s="40" t="b">
        <f t="shared" si="0"/>
        <v>1</v>
      </c>
      <c r="AG12" s="40" t="b">
        <f t="shared" si="1"/>
        <v>0</v>
      </c>
      <c r="AH12" s="40" t="e">
        <f>IF(I12="","",IF(#REF!&gt;0,TRUE,FALSE))</f>
        <v>#REF!</v>
      </c>
      <c r="AI12" s="40">
        <v>2</v>
      </c>
      <c r="AJ12" s="40"/>
      <c r="AK12" s="40">
        <f t="array" ref="AK12">IFERROR(INDEX($AI$11:$AI$259, MATCH(0, IF(TRUE=$AF$11:$AF$259, COUNTIF($AK$10:$AK11, $AI$11:$AI$259), ""), 0)),"")</f>
        <v>7</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27.6" x14ac:dyDescent="0.25">
      <c r="A13" s="35" t="str">
        <f>IFERROR(INDEX('G-1 All Habitats'!$AG$3:$AG$17,MATCH(E13,'G-1 All Habitats'!$AF$3:$AF$17,0)),"")</f>
        <v>Cropland</v>
      </c>
      <c r="B13" s="35" t="str">
        <f>IFERROR(INDEX('G-8 Condition Look up'!$I$4:$I$135,MATCH(G13,'G-8 Condition Look up'!$A$4:$A$135,0)),"")</f>
        <v>Cond1</v>
      </c>
      <c r="D13" s="287">
        <v>3</v>
      </c>
      <c r="E13" s="267" t="s">
        <v>124</v>
      </c>
      <c r="F13" s="61" t="s">
        <v>501</v>
      </c>
      <c r="G13" s="52" t="str">
        <f>IFERROR(INDEX('G-1 All Habitats'!$B$3:$B$134,MATCH(F13,'G-1 All Habitats'!$A$3:$A$134,0)),"")</f>
        <v>Cropland - Non-cereal crops</v>
      </c>
      <c r="H13" s="53">
        <v>5.8730000000000002</v>
      </c>
      <c r="I13" s="362" t="str">
        <f>IF(G13="","",VLOOKUP(G13,'G-1 All Habitats'!$B$2:$M$134,10,FALSE))</f>
        <v>Low</v>
      </c>
      <c r="J13" s="363">
        <f>IFERROR(VLOOKUP(I13,'G-1 All Habitats'!$V$3:$W$7,2,FALSE),"")</f>
        <v>2</v>
      </c>
      <c r="K13" s="54" t="s">
        <v>492</v>
      </c>
      <c r="L13" s="363">
        <f>IFERROR(INDEX('G-8 Condition Look up'!$A$3:$H$135,MATCH(G13,'G-8 Condition Look up'!$A$3:$A$135,0),MATCH(K13,'G-8 Condition Look up'!$A$3:$H$3,0)),"")</f>
        <v>1</v>
      </c>
      <c r="M13" s="54" t="s">
        <v>1034</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11.746</v>
      </c>
      <c r="R13" s="38"/>
      <c r="S13" s="54"/>
      <c r="T13" s="55"/>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5.8730000000000002</v>
      </c>
      <c r="X13" s="378">
        <f>IFERROR(IF(H13="","",IF(H13-S13-T13=0&lt;0,"Error in Areas ▲",IF(S13+T13&gt;H13,"Error in Areas ▲",IF(AND(P13='G-1 All Habitats'!$X$3,Y13="Yes"),"Alternative Compensation ✓",IF(W13=0,0,IF(P13='G-1 All Habitats'!$X$3,"Any Loss Unacceptable ▲",Q13-U13-V13)))))),"Check Data ▲")</f>
        <v>11.746</v>
      </c>
      <c r="Y13" s="55"/>
      <c r="Z13" s="62" t="s">
        <v>1703</v>
      </c>
      <c r="AA13" s="526"/>
      <c r="AB13" s="120" t="s">
        <v>1702</v>
      </c>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f t="array" ref="AK13">IFERROR(INDEX($AI$11:$AI$259, MATCH(0, IF(TRUE=$AF$11:$AF$259, COUNTIF($AK$10:$AK12, $AI$11:$AI$259), ""), 0)),"")</f>
        <v>13</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27.6" x14ac:dyDescent="0.25">
      <c r="A14" s="35" t="str">
        <f>IFERROR(INDEX('G-1 All Habitats'!$AG$3:$AG$17,MATCH(E14,'G-1 All Habitats'!$AF$3:$AF$17,0)),"")</f>
        <v>Grassland</v>
      </c>
      <c r="B14" s="35" t="str">
        <f>IFERROR(INDEX('G-8 Condition Look up'!$I$4:$I$135,MATCH(G14,'G-8 Condition Look up'!$A$4:$A$135,0)),"")</f>
        <v>Cond4</v>
      </c>
      <c r="D14" s="287">
        <v>4</v>
      </c>
      <c r="E14" s="267" t="s">
        <v>125</v>
      </c>
      <c r="F14" s="61" t="s">
        <v>537</v>
      </c>
      <c r="G14" s="52" t="str">
        <f>IFERROR(INDEX('G-1 All Habitats'!$B$3:$B$134,MATCH(F14,'G-1 All Habitats'!$A$3:$A$134,0)),"")</f>
        <v>Grassland - Modified grassland</v>
      </c>
      <c r="H14" s="53">
        <v>9.39</v>
      </c>
      <c r="I14" s="362" t="str">
        <f>IF(G14="","",VLOOKUP(G14,'G-1 All Habitats'!$B$2:$M$134,10,FALSE))</f>
        <v>Low</v>
      </c>
      <c r="J14" s="363">
        <f>IFERROR(VLOOKUP(I14,'G-1 All Habitats'!$V$3:$W$7,2,FALSE),"")</f>
        <v>2</v>
      </c>
      <c r="K14" s="54" t="s">
        <v>328</v>
      </c>
      <c r="L14" s="363">
        <f>IFERROR(INDEX('G-8 Condition Look up'!$A$3:$H$135,MATCH(G14,'G-8 Condition Look up'!$A$3:$A$135,0),MATCH(K14,'G-8 Condition Look up'!$A$3:$H$3,0)),"")</f>
        <v>1</v>
      </c>
      <c r="M14" s="54" t="s">
        <v>1034</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Same distinctiveness or better habitat required ≥</v>
      </c>
      <c r="Q14" s="376">
        <f>IFERROR(IF(P14="","",IF(AND(P14='G-1 All Habitats'!$X$3,T14&gt;0),U14+V14,IF(AND(P14='G-1 All Habitats'!$X$3,S14&gt;0),U14+V14,IF(AND(P14='G-1 All Habitats'!$X$3,AC14&gt;0),"Any Loss Unacceptable ⚠",IF(AND(P14='G-1 All Habitats'!$X$3,W14&gt;0),"Any Loss Unacceptable ⚠",H14*J14*L14*O14))))),"Check Data ▲")</f>
        <v>18.78</v>
      </c>
      <c r="R14" s="38"/>
      <c r="S14" s="54"/>
      <c r="T14" s="55"/>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9.39</v>
      </c>
      <c r="X14" s="378">
        <f>IFERROR(IF(H14="","",IF(H14-S14-T14=0&lt;0,"Error in Areas ▲",IF(S14+T14&gt;H14,"Error in Areas ▲",IF(AND(P14='G-1 All Habitats'!$X$3,Y14="Yes"),"Alternative Compensation ✓",IF(W14=0,0,IF(P14='G-1 All Habitats'!$X$3,"Any Loss Unacceptable ▲",Q14-U14-V14)))))),"Check Data ▲")</f>
        <v>18.78</v>
      </c>
      <c r="Y14" s="55"/>
      <c r="Z14" s="62" t="s">
        <v>1690</v>
      </c>
      <c r="AA14" s="526"/>
      <c r="AB14" s="120" t="s">
        <v>1689</v>
      </c>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f t="array" ref="AK14">IFERROR(INDEX($AI$11:$AI$259, MATCH(0, IF(TRUE=$AF$11:$AF$259, COUNTIF($AK$10:$AK13, $AI$11:$AI$259), ""), 0)),"")</f>
        <v>14</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27.6" x14ac:dyDescent="0.25">
      <c r="A15" s="35" t="str">
        <f>IFERROR(INDEX('G-1 All Habitats'!$AG$3:$AG$17,MATCH(E15,'G-1 All Habitats'!$AF$3:$AF$17,0)),"")</f>
        <v>Grassland</v>
      </c>
      <c r="B15" s="35" t="str">
        <f>IFERROR(INDEX('G-8 Condition Look up'!$I$4:$I$135,MATCH(G15,'G-8 Condition Look up'!$A$4:$A$135,0)),"")</f>
        <v>Cond4</v>
      </c>
      <c r="D15" s="287">
        <v>5</v>
      </c>
      <c r="E15" s="267" t="s">
        <v>125</v>
      </c>
      <c r="F15" s="61" t="s">
        <v>537</v>
      </c>
      <c r="G15" s="52" t="str">
        <f>IFERROR(INDEX('G-1 All Habitats'!$B$3:$B$134,MATCH(F15,'G-1 All Habitats'!$A$3:$A$134,0)),"")</f>
        <v>Grassland - Modified grassland</v>
      </c>
      <c r="H15" s="53">
        <v>19.847999999999999</v>
      </c>
      <c r="I15" s="362" t="str">
        <f>IF(G15="","",VLOOKUP(G15,'G-1 All Habitats'!$B$2:$M$134,10,FALSE))</f>
        <v>Low</v>
      </c>
      <c r="J15" s="363">
        <f>IFERROR(VLOOKUP(I15,'G-1 All Habitats'!$V$3:$W$7,2,FALSE),"")</f>
        <v>2</v>
      </c>
      <c r="K15" s="54" t="s">
        <v>328</v>
      </c>
      <c r="L15" s="363">
        <f>IFERROR(INDEX('G-8 Condition Look up'!$A$3:$H$135,MATCH(G15,'G-8 Condition Look up'!$A$3:$A$135,0),MATCH(K15,'G-8 Condition Look up'!$A$3:$H$3,0)),"")</f>
        <v>1</v>
      </c>
      <c r="M15" s="54" t="s">
        <v>1034</v>
      </c>
      <c r="N15" s="382" t="str">
        <f>IF(M15="","",IF(VLOOKUP(M15,'G-3 Multipliers'!$L$3:$N$6,2,FALSE)=0,"Spatial Data Missing",VLOOKUP(M15,'G-3 Multipliers'!$L$3:$N$6,2,FALSE)))</f>
        <v>Low Strategic Significance</v>
      </c>
      <c r="O15" s="368">
        <f>IF(M15="","",IF(VLOOKUP(M15,'G-3 Multipliers'!$L$3:$N$6,3,FALSE)=0,"Spatial Data Missing ▲",VLOOKUP(M15,'G-3 Multipliers'!$L$3:$N$6,3,FALSE)))</f>
        <v>1</v>
      </c>
      <c r="P15" s="369" t="str">
        <f>IFERROR(VLOOKUP(G15,'G-1 All Habitats'!$B$2:$M$134,12,FALSE),"")</f>
        <v>Same distinctiveness or better habitat required ≥</v>
      </c>
      <c r="Q15" s="376">
        <f>IFERROR(IF(P15="","",IF(AND(P15='G-1 All Habitats'!$X$3,T15&gt;0),U15+V15,IF(AND(P15='G-1 All Habitats'!$X$3,S15&gt;0),U15+V15,IF(AND(P15='G-1 All Habitats'!$X$3,AC15&gt;0),"Any Loss Unacceptable ⚠",IF(AND(P15='G-1 All Habitats'!$X$3,W15&gt;0),"Any Loss Unacceptable ⚠",H15*J15*L15*O15))))),"Check Data ▲")</f>
        <v>39.695999999999998</v>
      </c>
      <c r="R15" s="38"/>
      <c r="S15" s="54"/>
      <c r="T15" s="55"/>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19.847999999999999</v>
      </c>
      <c r="X15" s="378">
        <f>IFERROR(IF(H15="","",IF(H15-S15-T15=0&lt;0,"Error in Areas ▲",IF(S15+T15&gt;H15,"Error in Areas ▲",IF(AND(P15='G-1 All Habitats'!$X$3,Y15="Yes"),"Alternative Compensation ✓",IF(W15=0,0,IF(P15='G-1 All Habitats'!$X$3,"Any Loss Unacceptable ▲",Q15-U15-V15)))))),"Check Data ▲")</f>
        <v>39.695999999999998</v>
      </c>
      <c r="Y15" s="55"/>
      <c r="Z15" s="62" t="s">
        <v>1690</v>
      </c>
      <c r="AA15" s="526"/>
      <c r="AB15" s="120" t="s">
        <v>1688</v>
      </c>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f t="array" ref="AK15">IFERROR(INDEX($AI$11:$AI$259, MATCH(0, IF(TRUE=$AF$11:$AF$259, COUNTIF($AK$10:$AK14, $AI$11:$AI$259), ""), 0)),"")</f>
        <v>15</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27.6" x14ac:dyDescent="0.25">
      <c r="A16" s="35" t="str">
        <f>IFERROR(INDEX('G-1 All Habitats'!$AG$3:$AG$17,MATCH(E16,'G-1 All Habitats'!$AF$3:$AF$17,0)),"")</f>
        <v>Grassland</v>
      </c>
      <c r="B16" s="35" t="str">
        <f>IFERROR(INDEX('G-8 Condition Look up'!$I$4:$I$135,MATCH(G16,'G-8 Condition Look up'!$A$4:$A$135,0)),"")</f>
        <v>Cond4</v>
      </c>
      <c r="D16" s="287">
        <v>6</v>
      </c>
      <c r="E16" s="267" t="s">
        <v>125</v>
      </c>
      <c r="F16" s="61" t="s">
        <v>537</v>
      </c>
      <c r="G16" s="52" t="str">
        <f>IFERROR(INDEX('G-1 All Habitats'!$B$3:$B$134,MATCH(F16,'G-1 All Habitats'!$A$3:$A$134,0)),"")</f>
        <v>Grassland - Modified grassland</v>
      </c>
      <c r="H16" s="53">
        <v>0.01</v>
      </c>
      <c r="I16" s="362" t="str">
        <f>IF(G16="","",VLOOKUP(G16,'G-1 All Habitats'!$B$2:$M$134,10,FALSE))</f>
        <v>Low</v>
      </c>
      <c r="J16" s="363">
        <f>IFERROR(VLOOKUP(I16,'G-1 All Habitats'!$V$3:$W$7,2,FALSE),"")</f>
        <v>2</v>
      </c>
      <c r="K16" s="54" t="s">
        <v>328</v>
      </c>
      <c r="L16" s="363">
        <f>IFERROR(INDEX('G-8 Condition Look up'!$A$3:$H$135,MATCH(G16,'G-8 Condition Look up'!$A$3:$A$135,0),MATCH(K16,'G-8 Condition Look up'!$A$3:$H$3,0)),"")</f>
        <v>1</v>
      </c>
      <c r="M16" s="54" t="s">
        <v>1034</v>
      </c>
      <c r="N16" s="382" t="str">
        <f>IF(M16="","",IF(VLOOKUP(M16,'G-3 Multipliers'!$L$3:$N$6,2,FALSE)=0,"Spatial Data Missing",VLOOKUP(M16,'G-3 Multipliers'!$L$3:$N$6,2,FALSE)))</f>
        <v>Low Strategic Significance</v>
      </c>
      <c r="O16" s="368">
        <f>IF(M16="","",IF(VLOOKUP(M16,'G-3 Multipliers'!$L$3:$N$6,3,FALSE)=0,"Spatial Data Missing ▲",VLOOKUP(M16,'G-3 Multipliers'!$L$3:$N$6,3,FALSE)))</f>
        <v>1</v>
      </c>
      <c r="P16" s="369" t="str">
        <f>IFERROR(VLOOKUP(G16,'G-1 All Habitats'!$B$2:$M$134,12,FALSE),"")</f>
        <v>Same distinctiveness or better habitat required ≥</v>
      </c>
      <c r="Q16" s="376">
        <f>IFERROR(IF(P16="","",IF(AND(P16='G-1 All Habitats'!$X$3,T16&gt;0),U16+V16,IF(AND(P16='G-1 All Habitats'!$X$3,S16&gt;0),U16+V16,IF(AND(P16='G-1 All Habitats'!$X$3,AC16&gt;0),"Any Loss Unacceptable ⚠",IF(AND(P16='G-1 All Habitats'!$X$3,W16&gt;0),"Any Loss Unacceptable ⚠",H16*J16*L16*O16))))),"Check Data ▲")</f>
        <v>0.02</v>
      </c>
      <c r="R16" s="38"/>
      <c r="S16" s="54"/>
      <c r="T16" s="55"/>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0.01</v>
      </c>
      <c r="X16" s="378">
        <f>IFERROR(IF(H16="","",IF(H16-S16-T16=0&lt;0,"Error in Areas ▲",IF(S16+T16&gt;H16,"Error in Areas ▲",IF(AND(P16='G-1 All Habitats'!$X$3,Y16="Yes"),"Alternative Compensation ✓",IF(W16=0,0,IF(P16='G-1 All Habitats'!$X$3,"Any Loss Unacceptable ▲",Q16-U16-V16)))))),"Check Data ▲")</f>
        <v>0.02</v>
      </c>
      <c r="Y16" s="55"/>
      <c r="Z16" s="62" t="s">
        <v>1690</v>
      </c>
      <c r="AA16" s="526"/>
      <c r="AB16" s="120" t="s">
        <v>1687</v>
      </c>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t="str">
        <f t="array" ref="AK16">IFERROR(INDEX($AI$11:$AI$259, MATCH(0, IF(TRUE=$AF$11:$AF$259, COUNTIF($AK$10:$AK15, $AI$11:$AI$259), ""), 0)),"")</f>
        <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69" x14ac:dyDescent="0.25">
      <c r="A17" s="35" t="str">
        <f>IFERROR(INDEX('G-1 All Habitats'!$AG$3:$AG$17,MATCH(E17,'G-1 All Habitats'!$AF$3:$AF$17,0)),"")</f>
        <v>Grassland</v>
      </c>
      <c r="B17" s="35" t="str">
        <f>IFERROR(INDEX('G-8 Condition Look up'!$I$4:$I$135,MATCH(G17,'G-8 Condition Look up'!$A$4:$A$135,0)),"")</f>
        <v>Cond1</v>
      </c>
      <c r="D17" s="287">
        <v>7</v>
      </c>
      <c r="E17" s="267" t="s">
        <v>125</v>
      </c>
      <c r="F17" s="61" t="s">
        <v>510</v>
      </c>
      <c r="G17" s="52" t="str">
        <f>IFERROR(INDEX('G-1 All Habitats'!$B$3:$B$134,MATCH(F17,'G-1 All Habitats'!$A$3:$A$134,0)),"")</f>
        <v>Grassland - Bracken</v>
      </c>
      <c r="H17" s="53">
        <v>7.2999999999999995E-2</v>
      </c>
      <c r="I17" s="362" t="str">
        <f>IF(G17="","",VLOOKUP(G17,'G-1 All Habitats'!$B$2:$M$134,10,FALSE))</f>
        <v>Low</v>
      </c>
      <c r="J17" s="363">
        <f>IFERROR(VLOOKUP(I17,'G-1 All Habitats'!$V$3:$W$7,2,FALSE),"")</f>
        <v>2</v>
      </c>
      <c r="K17" s="54" t="s">
        <v>492</v>
      </c>
      <c r="L17" s="363">
        <f>IFERROR(INDEX('G-8 Condition Look up'!$A$3:$H$135,MATCH(G17,'G-8 Condition Look up'!$A$3:$A$135,0),MATCH(K17,'G-8 Condition Look up'!$A$3:$H$3,0)),"")</f>
        <v>1</v>
      </c>
      <c r="M17" s="54" t="s">
        <v>1034</v>
      </c>
      <c r="N17" s="382" t="str">
        <f>IF(M17="","",IF(VLOOKUP(M17,'G-3 Multipliers'!$L$3:$N$6,2,FALSE)=0,"Spatial Data Missing",VLOOKUP(M17,'G-3 Multipliers'!$L$3:$N$6,2,FALSE)))</f>
        <v>Low Strategic Significance</v>
      </c>
      <c r="O17" s="368">
        <f>IF(M17="","",IF(VLOOKUP(M17,'G-3 Multipliers'!$L$3:$N$6,3,FALSE)=0,"Spatial Data Missing ▲",VLOOKUP(M17,'G-3 Multipliers'!$L$3:$N$6,3,FALSE)))</f>
        <v>1</v>
      </c>
      <c r="P17" s="369" t="str">
        <f>IFERROR(VLOOKUP(G17,'G-1 All Habitats'!$B$2:$M$134,12,FALSE),"")</f>
        <v>Same distinctiveness or better habitat required ≥</v>
      </c>
      <c r="Q17" s="376">
        <f>IFERROR(IF(P17="","",IF(AND(P17='G-1 All Habitats'!$X$3,T17&gt;0),U17+V17,IF(AND(P17='G-1 All Habitats'!$X$3,S17&gt;0),U17+V17,IF(AND(P17='G-1 All Habitats'!$X$3,AC17&gt;0),"Any Loss Unacceptable ⚠",IF(AND(P17='G-1 All Habitats'!$X$3,W17&gt;0),"Any Loss Unacceptable ⚠",H17*J17*L17*O17))))),"Check Data ▲")</f>
        <v>0.14599999999999999</v>
      </c>
      <c r="R17" s="38"/>
      <c r="S17" s="54">
        <v>7.2999999999999995E-2</v>
      </c>
      <c r="T17" s="55"/>
      <c r="U17" s="374">
        <f t="shared" si="3"/>
        <v>0.14599999999999999</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0</v>
      </c>
      <c r="X17" s="378">
        <f>IFERROR(IF(H17="","",IF(H17-S17-T17=0&lt;0,"Error in Areas ▲",IF(S17+T17&gt;H17,"Error in Areas ▲",IF(AND(P17='G-1 All Habitats'!$X$3,Y17="Yes"),"Alternative Compensation ✓",IF(W17=0,0,IF(P17='G-1 All Habitats'!$X$3,"Any Loss Unacceptable ▲",Q17-U17-V17)))))),"Check Data ▲")</f>
        <v>0</v>
      </c>
      <c r="Y17" s="55"/>
      <c r="Z17" s="62" t="s">
        <v>1704</v>
      </c>
      <c r="AA17" s="526"/>
      <c r="AB17" s="120" t="s">
        <v>1691</v>
      </c>
      <c r="AC17" s="726" t="str">
        <f>IF(P17="","",IF(P17='G-1 All Habitats'!$X$3,H17-S17-T17,"None"))</f>
        <v>None</v>
      </c>
      <c r="AD17" s="727" t="str">
        <f>IF(P17="","", IF(P17='G-1 All Habitats'!$X$3, AC17*J17*L17*O17,"None"))</f>
        <v>None</v>
      </c>
      <c r="AF17" s="40" t="b">
        <f t="shared" si="0"/>
        <v>1</v>
      </c>
      <c r="AG17" s="40" t="b">
        <f t="shared" si="1"/>
        <v>0</v>
      </c>
      <c r="AH17" s="40" t="e">
        <f>IF(I17="","",IF(#REF!&gt;0,TRUE,FALSE))</f>
        <v>#REF!</v>
      </c>
      <c r="AI17" s="40">
        <v>7</v>
      </c>
      <c r="AJ17" s="40"/>
      <c r="AK17" s="40" t="str">
        <f t="array" ref="AK17">IFERROR(INDEX($AI$11:$AI$259, MATCH(0, IF(TRUE=$AF$11:$AF$259, COUNTIF($AK$10:$AK16, $AI$11:$AI$259), ""), 0)),"")</f>
        <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41.4" x14ac:dyDescent="0.25">
      <c r="A18" s="35" t="str">
        <f>IFERROR(INDEX('G-1 All Habitats'!$AG$3:$AG$17,MATCH(E18,'G-1 All Habitats'!$AF$3:$AF$17,0)),"")</f>
        <v>Heathland_and_shrub</v>
      </c>
      <c r="B18" s="35" t="str">
        <f>IFERROR(INDEX('G-8 Condition Look up'!$I$4:$I$135,MATCH(G18,'G-8 Condition Look up'!$A$4:$A$135,0)),"")</f>
        <v>Cond4</v>
      </c>
      <c r="D18" s="287">
        <v>8</v>
      </c>
      <c r="E18" s="267" t="s">
        <v>126</v>
      </c>
      <c r="F18" s="61" t="s">
        <v>586</v>
      </c>
      <c r="G18" s="52" t="str">
        <f>IFERROR(INDEX('G-1 All Habitats'!$B$3:$B$134,MATCH(F18,'G-1 All Habitats'!$A$3:$A$134,0)),"")</f>
        <v>Heathland and shrub - Mixed scrub</v>
      </c>
      <c r="H18" s="53">
        <v>2.3E-2</v>
      </c>
      <c r="I18" s="362" t="str">
        <f>IF(G18="","",VLOOKUP(G18,'G-1 All Habitats'!$B$2:$M$134,10,FALSE))</f>
        <v>Medium</v>
      </c>
      <c r="J18" s="363">
        <f>IFERROR(VLOOKUP(I18,'G-1 All Habitats'!$V$3:$W$7,2,FALSE),"")</f>
        <v>4</v>
      </c>
      <c r="K18" s="54" t="s">
        <v>67</v>
      </c>
      <c r="L18" s="363">
        <f>IFERROR(INDEX('G-8 Condition Look up'!$A$3:$H$135,MATCH(G18,'G-8 Condition Look up'!$A$3:$A$135,0),MATCH(K18,'G-8 Condition Look up'!$A$3:$H$3,0)),"")</f>
        <v>2</v>
      </c>
      <c r="M18" s="54" t="s">
        <v>1034</v>
      </c>
      <c r="N18" s="382" t="str">
        <f>IF(M18="","",IF(VLOOKUP(M18,'G-3 Multipliers'!$L$3:$N$6,2,FALSE)=0,"Spatial Data Missing",VLOOKUP(M18,'G-3 Multipliers'!$L$3:$N$6,2,FALSE)))</f>
        <v>Low Strategic Significance</v>
      </c>
      <c r="O18" s="368">
        <f>IF(M18="","",IF(VLOOKUP(M18,'G-3 Multipliers'!$L$3:$N$6,3,FALSE)=0,"Spatial Data Missing ▲",VLOOKUP(M18,'G-3 Multipliers'!$L$3:$N$6,3,FALSE)))</f>
        <v>1</v>
      </c>
      <c r="P18" s="369" t="str">
        <f>IFERROR(VLOOKUP(G18,'G-1 All Habitats'!$B$2:$M$134,12,FALSE),"")</f>
        <v>Same broad habitat or a higher distinctiveness habitat required (≥)</v>
      </c>
      <c r="Q18" s="376">
        <f>IFERROR(IF(P18="","",IF(AND(P18='G-1 All Habitats'!$X$3,T18&gt;0),U18+V18,IF(AND(P18='G-1 All Habitats'!$X$3,S18&gt;0),U18+V18,IF(AND(P18='G-1 All Habitats'!$X$3,AC18&gt;0),"Any Loss Unacceptable ⚠",IF(AND(P18='G-1 All Habitats'!$X$3,W18&gt;0),"Any Loss Unacceptable ⚠",H18*J18*L18*O18))))),"Check Data ▲")</f>
        <v>0.184</v>
      </c>
      <c r="R18" s="38"/>
      <c r="S18" s="54"/>
      <c r="T18" s="55"/>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2.3E-2</v>
      </c>
      <c r="X18" s="378">
        <f>IFERROR(IF(H18="","",IF(H18-S18-T18=0&lt;0,"Error in Areas ▲",IF(S18+T18&gt;H18,"Error in Areas ▲",IF(AND(P18='G-1 All Habitats'!$X$3,Y18="Yes"),"Alternative Compensation ✓",IF(W18=0,0,IF(P18='G-1 All Habitats'!$X$3,"Any Loss Unacceptable ▲",Q18-U18-V18)))))),"Check Data ▲")</f>
        <v>0.184</v>
      </c>
      <c r="Y18" s="55"/>
      <c r="Z18" s="62"/>
      <c r="AA18" s="526"/>
      <c r="AB18" s="120" t="s">
        <v>1692</v>
      </c>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t="str">
        <f t="array" ref="AK18">IFERROR(INDEX($AI$11:$AI$259, MATCH(0, IF(TRUE=$AF$11:$AF$259, COUNTIF($AK$10:$AK17, $AI$11:$AI$259), ""), 0)),"")</f>
        <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27.6" x14ac:dyDescent="0.25">
      <c r="A19" s="35" t="str">
        <f>IFERROR(INDEX('G-1 All Habitats'!$AG$3:$AG$17,MATCH(E19,'G-1 All Habitats'!$AF$3:$AF$17,0)),"")</f>
        <v>Urban</v>
      </c>
      <c r="B19" s="35" t="str">
        <f>IFERROR(INDEX('G-8 Condition Look up'!$I$4:$I$135,MATCH(G19,'G-8 Condition Look up'!$A$4:$A$135,0)),"")</f>
        <v>Cond2</v>
      </c>
      <c r="D19" s="287">
        <v>9</v>
      </c>
      <c r="E19" s="267" t="s">
        <v>129</v>
      </c>
      <c r="F19" s="61" t="s">
        <v>696</v>
      </c>
      <c r="G19" s="52" t="str">
        <f>IFERROR(INDEX('G-1 All Habitats'!$B$3:$B$134,MATCH(F19,'G-1 All Habitats'!$A$3:$A$134,0)),"")</f>
        <v>Urban - Developed land; sealed surface</v>
      </c>
      <c r="H19" s="53">
        <v>4.2999999999999997E-2</v>
      </c>
      <c r="I19" s="362" t="str">
        <f>IF(G19="","",VLOOKUP(G19,'G-1 All Habitats'!$B$2:$M$134,10,FALSE))</f>
        <v>V.Low</v>
      </c>
      <c r="J19" s="363">
        <f>IFERROR(VLOOKUP(I19,'G-1 All Habitats'!$V$3:$W$7,2,FALSE),"")</f>
        <v>0</v>
      </c>
      <c r="K19" s="54" t="s">
        <v>496</v>
      </c>
      <c r="L19" s="363">
        <f>IFERROR(INDEX('G-8 Condition Look up'!$A$3:$H$135,MATCH(G19,'G-8 Condition Look up'!$A$3:$A$135,0),MATCH(K19,'G-8 Condition Look up'!$A$3:$H$3,0)),"")</f>
        <v>0</v>
      </c>
      <c r="M19" s="54" t="s">
        <v>1034</v>
      </c>
      <c r="N19" s="382" t="str">
        <f>IF(M19="","",IF(VLOOKUP(M19,'G-3 Multipliers'!$L$3:$N$6,2,FALSE)=0,"Spatial Data Missing",VLOOKUP(M19,'G-3 Multipliers'!$L$3:$N$6,2,FALSE)))</f>
        <v>Low Strategic Significance</v>
      </c>
      <c r="O19" s="368">
        <f>IF(M19="","",IF(VLOOKUP(M19,'G-3 Multipliers'!$L$3:$N$6,3,FALSE)=0,"Spatial Data Missing ▲",VLOOKUP(M19,'G-3 Multipliers'!$L$3:$N$6,3,FALSE)))</f>
        <v>1</v>
      </c>
      <c r="P19" s="369" t="str">
        <f>IFERROR(VLOOKUP(G19,'G-1 All Habitats'!$B$2:$M$134,12,FALSE),"")</f>
        <v>Compensation Not Required</v>
      </c>
      <c r="Q19" s="376">
        <f>IFERROR(IF(P19="","",IF(AND(P19='G-1 All Habitats'!$X$3,T19&gt;0),U19+V19,IF(AND(P19='G-1 All Habitats'!$X$3,S19&gt;0),U19+V19,IF(AND(P19='G-1 All Habitats'!$X$3,AC19&gt;0),"Any Loss Unacceptable ⚠",IF(AND(P19='G-1 All Habitats'!$X$3,W19&gt;0),"Any Loss Unacceptable ⚠",H19*J19*L19*O19))))),"Check Data ▲")</f>
        <v>0</v>
      </c>
      <c r="R19" s="38"/>
      <c r="S19" s="54"/>
      <c r="T19" s="55"/>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4.2999999999999997E-2</v>
      </c>
      <c r="X19" s="378">
        <f>IFERROR(IF(H19="","",IF(H19-S19-T19=0&lt;0,"Error in Areas ▲",IF(S19+T19&gt;H19,"Error in Areas ▲",IF(AND(P19='G-1 All Habitats'!$X$3,Y19="Yes"),"Alternative Compensation ✓",IF(W19=0,0,IF(P19='G-1 All Habitats'!$X$3,"Any Loss Unacceptable ▲",Q19-U19-V19)))))),"Check Data ▲")</f>
        <v>0</v>
      </c>
      <c r="Y19" s="55"/>
      <c r="Z19" s="62" t="s">
        <v>1700</v>
      </c>
      <c r="AA19" s="526"/>
      <c r="AB19" s="120" t="s">
        <v>1696</v>
      </c>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t="str">
        <f t="array" ref="AK19">IFERROR(INDEX($AI$11:$AI$259, MATCH(0, IF(TRUE=$AF$11:$AF$259, COUNTIF($AK$10:$AK18, $AI$11:$AI$259), ""), 0)),"")</f>
        <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27.6" x14ac:dyDescent="0.25">
      <c r="A20" s="35" t="str">
        <f>IFERROR(INDEX('G-1 All Habitats'!$AG$3:$AG$17,MATCH(E20,'G-1 All Habitats'!$AF$3:$AF$17,0)),"")</f>
        <v>Urban</v>
      </c>
      <c r="B20" s="35" t="str">
        <f>IFERROR(INDEX('G-8 Condition Look up'!$I$4:$I$135,MATCH(G20,'G-8 Condition Look up'!$A$4:$A$135,0)),"")</f>
        <v>Cond2</v>
      </c>
      <c r="D20" s="287">
        <v>10</v>
      </c>
      <c r="E20" s="267" t="s">
        <v>129</v>
      </c>
      <c r="F20" s="61" t="s">
        <v>683</v>
      </c>
      <c r="G20" s="52" t="str">
        <f>IFERROR(INDEX('G-1 All Habitats'!$B$3:$B$134,MATCH(F20,'G-1 All Habitats'!$A$3:$A$134,0)),"")</f>
        <v>Urban - Artificial unvegetated, unsealed surface</v>
      </c>
      <c r="H20" s="53">
        <v>0.14799999999999999</v>
      </c>
      <c r="I20" s="362" t="str">
        <f>IF(G20="","",VLOOKUP(G20,'G-1 All Habitats'!$B$2:$M$134,10,FALSE))</f>
        <v>V.Low</v>
      </c>
      <c r="J20" s="363">
        <f>IFERROR(VLOOKUP(I20,'G-1 All Habitats'!$V$3:$W$7,2,FALSE),"")</f>
        <v>0</v>
      </c>
      <c r="K20" s="54" t="s">
        <v>496</v>
      </c>
      <c r="L20" s="363">
        <f>IFERROR(INDEX('G-8 Condition Look up'!$A$3:$H$135,MATCH(G20,'G-8 Condition Look up'!$A$3:$A$135,0),MATCH(K20,'G-8 Condition Look up'!$A$3:$H$3,0)),"")</f>
        <v>0</v>
      </c>
      <c r="M20" s="54" t="s">
        <v>1034</v>
      </c>
      <c r="N20" s="382" t="str">
        <f>IF(M20="","",IF(VLOOKUP(M20,'G-3 Multipliers'!$L$3:$N$6,2,FALSE)=0,"Spatial Data Missing",VLOOKUP(M20,'G-3 Multipliers'!$L$3:$N$6,2,FALSE)))</f>
        <v>Low Strategic Significance</v>
      </c>
      <c r="O20" s="368">
        <f>IF(M20="","",IF(VLOOKUP(M20,'G-3 Multipliers'!$L$3:$N$6,3,FALSE)=0,"Spatial Data Missing ▲",VLOOKUP(M20,'G-3 Multipliers'!$L$3:$N$6,3,FALSE)))</f>
        <v>1</v>
      </c>
      <c r="P20" s="369" t="str">
        <f>IFERROR(VLOOKUP(G20,'G-1 All Habitats'!$B$2:$M$134,12,FALSE),"")</f>
        <v>Compensation Not Required</v>
      </c>
      <c r="Q20" s="376">
        <f>IFERROR(IF(P20="","",IF(AND(P20='G-1 All Habitats'!$X$3,T20&gt;0),U20+V20,IF(AND(P20='G-1 All Habitats'!$X$3,S20&gt;0),U20+V20,IF(AND(P20='G-1 All Habitats'!$X$3,AC20&gt;0),"Any Loss Unacceptable ⚠",IF(AND(P20='G-1 All Habitats'!$X$3,W20&gt;0),"Any Loss Unacceptable ⚠",H20*J20*L20*O20))))),"Check Data ▲")</f>
        <v>0</v>
      </c>
      <c r="R20" s="38"/>
      <c r="S20" s="54"/>
      <c r="T20" s="55"/>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0.14799999999999999</v>
      </c>
      <c r="X20" s="378">
        <f>IFERROR(IF(H20="","",IF(H20-S20-T20=0&lt;0,"Error in Areas ▲",IF(S20+T20&gt;H20,"Error in Areas ▲",IF(AND(P20='G-1 All Habitats'!$X$3,Y20="Yes"),"Alternative Compensation ✓",IF(W20=0,0,IF(P20='G-1 All Habitats'!$X$3,"Any Loss Unacceptable ▲",Q20-U20-V20)))))),"Check Data ▲")</f>
        <v>0</v>
      </c>
      <c r="Y20" s="55"/>
      <c r="Z20" s="62" t="s">
        <v>1698</v>
      </c>
      <c r="AA20" s="526"/>
      <c r="AB20" s="120" t="s">
        <v>1695</v>
      </c>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t="str">
        <f t="array" ref="AK20">IFERROR(INDEX($AI$11:$AI$259, MATCH(0, IF(TRUE=$AF$11:$AF$259, COUNTIF($AK$10:$AK19, $AI$11:$AI$259), ""), 0)),"")</f>
        <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27.6" x14ac:dyDescent="0.25">
      <c r="A21" s="35" t="str">
        <f>IFERROR(INDEX('G-1 All Habitats'!$AG$3:$AG$17,MATCH(E21,'G-1 All Habitats'!$AF$3:$AF$17,0)),"")</f>
        <v>Urban</v>
      </c>
      <c r="B21" s="35" t="str">
        <f>IFERROR(INDEX('G-8 Condition Look up'!$I$4:$I$135,MATCH(G21,'G-8 Condition Look up'!$A$4:$A$135,0)),"")</f>
        <v>Cond2</v>
      </c>
      <c r="D21" s="287">
        <v>11</v>
      </c>
      <c r="E21" s="267" t="s">
        <v>129</v>
      </c>
      <c r="F21" s="61" t="s">
        <v>696</v>
      </c>
      <c r="G21" s="52" t="str">
        <f>IFERROR(INDEX('G-1 All Habitats'!$B$3:$B$134,MATCH(F21,'G-1 All Habitats'!$A$3:$A$134,0)),"")</f>
        <v>Urban - Developed land; sealed surface</v>
      </c>
      <c r="H21" s="53">
        <v>9.0999999999999998E-2</v>
      </c>
      <c r="I21" s="362" t="str">
        <f>IF(G21="","",VLOOKUP(G21,'G-1 All Habitats'!$B$2:$M$134,10,FALSE))</f>
        <v>V.Low</v>
      </c>
      <c r="J21" s="363">
        <f>IFERROR(VLOOKUP(I21,'G-1 All Habitats'!$V$3:$W$7,2,FALSE),"")</f>
        <v>0</v>
      </c>
      <c r="K21" s="54" t="s">
        <v>496</v>
      </c>
      <c r="L21" s="363">
        <f>IFERROR(INDEX('G-8 Condition Look up'!$A$3:$H$135,MATCH(G21,'G-8 Condition Look up'!$A$3:$A$135,0),MATCH(K21,'G-8 Condition Look up'!$A$3:$H$3,0)),"")</f>
        <v>0</v>
      </c>
      <c r="M21" s="54" t="s">
        <v>1034</v>
      </c>
      <c r="N21" s="382" t="str">
        <f>IF(M21="","",IF(VLOOKUP(M21,'G-3 Multipliers'!$L$3:$N$6,2,FALSE)=0,"Spatial Data Missing",VLOOKUP(M21,'G-3 Multipliers'!$L$3:$N$6,2,FALSE)))</f>
        <v>Low Strategic Significance</v>
      </c>
      <c r="O21" s="368">
        <f>IF(M21="","",IF(VLOOKUP(M21,'G-3 Multipliers'!$L$3:$N$6,3,FALSE)=0,"Spatial Data Missing ▲",VLOOKUP(M21,'G-3 Multipliers'!$L$3:$N$6,3,FALSE)))</f>
        <v>1</v>
      </c>
      <c r="P21" s="369" t="str">
        <f>IFERROR(VLOOKUP(G21,'G-1 All Habitats'!$B$2:$M$134,12,FALSE),"")</f>
        <v>Compensation Not Required</v>
      </c>
      <c r="Q21" s="376">
        <f>IFERROR(IF(P21="","",IF(AND(P21='G-1 All Habitats'!$X$3,T21&gt;0),U21+V21,IF(AND(P21='G-1 All Habitats'!$X$3,S21&gt;0),U21+V21,IF(AND(P21='G-1 All Habitats'!$X$3,AC21&gt;0),"Any Loss Unacceptable ⚠",IF(AND(P21='G-1 All Habitats'!$X$3,W21&gt;0),"Any Loss Unacceptable ⚠",H21*J21*L21*O21))))),"Check Data ▲")</f>
        <v>0</v>
      </c>
      <c r="R21" s="38"/>
      <c r="S21" s="54"/>
      <c r="T21" s="55"/>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9.0999999999999998E-2</v>
      </c>
      <c r="X21" s="378">
        <f>IFERROR(IF(H21="","",IF(H21-S21-T21=0&lt;0,"Error in Areas ▲",IF(S21+T21&gt;H21,"Error in Areas ▲",IF(AND(P21='G-1 All Habitats'!$X$3,Y21="Yes"),"Alternative Compensation ✓",IF(W21=0,0,IF(P21='G-1 All Habitats'!$X$3,"Any Loss Unacceptable ▲",Q21-U21-V21)))))),"Check Data ▲")</f>
        <v>0</v>
      </c>
      <c r="Y21" s="55"/>
      <c r="Z21" s="62" t="s">
        <v>1699</v>
      </c>
      <c r="AA21" s="526"/>
      <c r="AB21" s="120" t="s">
        <v>1694</v>
      </c>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t="str">
        <f t="array" ref="AK21">IFERROR(INDEX($AI$11:$AI$259, MATCH(0, IF(TRUE=$AF$11:$AF$259, COUNTIF($AK$10:$AK20, $AI$11:$AI$259), ""), 0)),"")</f>
        <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27.6" x14ac:dyDescent="0.25">
      <c r="A22" s="35" t="str">
        <f>IFERROR(INDEX('G-1 All Habitats'!$AG$3:$AG$17,MATCH(E22,'G-1 All Habitats'!$AF$3:$AF$17,0)),"")</f>
        <v>Urban</v>
      </c>
      <c r="B22" s="35" t="str">
        <f>IFERROR(INDEX('G-8 Condition Look up'!$I$4:$I$135,MATCH(G22,'G-8 Condition Look up'!$A$4:$A$135,0)),"")</f>
        <v>Cond2</v>
      </c>
      <c r="D22" s="287">
        <v>12</v>
      </c>
      <c r="E22" s="267" t="s">
        <v>129</v>
      </c>
      <c r="F22" s="61" t="s">
        <v>696</v>
      </c>
      <c r="G22" s="52" t="str">
        <f>IFERROR(INDEX('G-1 All Habitats'!$B$3:$B$134,MATCH(F22,'G-1 All Habitats'!$A$3:$A$134,0)),"")</f>
        <v>Urban - Developed land; sealed surface</v>
      </c>
      <c r="H22" s="53">
        <v>0.17100000000000001</v>
      </c>
      <c r="I22" s="362" t="str">
        <f>IF(G22="","",VLOOKUP(G22,'G-1 All Habitats'!$B$2:$M$134,10,FALSE))</f>
        <v>V.Low</v>
      </c>
      <c r="J22" s="363">
        <f>IFERROR(VLOOKUP(I22,'G-1 All Habitats'!$V$3:$W$7,2,FALSE),"")</f>
        <v>0</v>
      </c>
      <c r="K22" s="54" t="s">
        <v>496</v>
      </c>
      <c r="L22" s="363">
        <f>IFERROR(INDEX('G-8 Condition Look up'!$A$3:$H$135,MATCH(G22,'G-8 Condition Look up'!$A$3:$A$135,0),MATCH(K22,'G-8 Condition Look up'!$A$3:$H$3,0)),"")</f>
        <v>0</v>
      </c>
      <c r="M22" s="54" t="s">
        <v>1034</v>
      </c>
      <c r="N22" s="382" t="str">
        <f>IF(M22="","",IF(VLOOKUP(M22,'G-3 Multipliers'!$L$3:$N$6,2,FALSE)=0,"Spatial Data Missing",VLOOKUP(M22,'G-3 Multipliers'!$L$3:$N$6,2,FALSE)))</f>
        <v>Low Strategic Significance</v>
      </c>
      <c r="O22" s="368">
        <f>IF(M22="","",IF(VLOOKUP(M22,'G-3 Multipliers'!$L$3:$N$6,3,FALSE)=0,"Spatial Data Missing ▲",VLOOKUP(M22,'G-3 Multipliers'!$L$3:$N$6,3,FALSE)))</f>
        <v>1</v>
      </c>
      <c r="P22" s="369" t="str">
        <f>IFERROR(VLOOKUP(G22,'G-1 All Habitats'!$B$2:$M$134,12,FALSE),"")</f>
        <v>Compensation Not Required</v>
      </c>
      <c r="Q22" s="376">
        <f>IFERROR(IF(P22="","",IF(AND(P22='G-1 All Habitats'!$X$3,T22&gt;0),U22+V22,IF(AND(P22='G-1 All Habitats'!$X$3,S22&gt;0),U22+V22,IF(AND(P22='G-1 All Habitats'!$X$3,AC22&gt;0),"Any Loss Unacceptable ⚠",IF(AND(P22='G-1 All Habitats'!$X$3,W22&gt;0),"Any Loss Unacceptable ⚠",H22*J22*L22*O22))))),"Check Data ▲")</f>
        <v>0</v>
      </c>
      <c r="R22" s="38"/>
      <c r="S22" s="54"/>
      <c r="T22" s="55"/>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0.17100000000000001</v>
      </c>
      <c r="X22" s="378">
        <f>IFERROR(IF(H22="","",IF(H22-S22-T22=0&lt;0,"Error in Areas ▲",IF(S22+T22&gt;H22,"Error in Areas ▲",IF(AND(P22='G-1 All Habitats'!$X$3,Y22="Yes"),"Alternative Compensation ✓",IF(W22=0,0,IF(P22='G-1 All Habitats'!$X$3,"Any Loss Unacceptable ▲",Q22-U22-V22)))))),"Check Data ▲")</f>
        <v>0</v>
      </c>
      <c r="Y22" s="55"/>
      <c r="Z22" s="62" t="s">
        <v>1697</v>
      </c>
      <c r="AA22" s="526"/>
      <c r="AB22" s="120" t="s">
        <v>1693</v>
      </c>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t="str">
        <f t="array" ref="AK22">IFERROR(INDEX($AI$11:$AI$259, MATCH(0, IF(TRUE=$AF$11:$AF$259, COUNTIF($AK$10:$AK21, $AI$11:$AI$259), ""), 0)),"")</f>
        <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55.2" x14ac:dyDescent="0.25">
      <c r="A23" s="35" t="str">
        <f>IFERROR(INDEX('G-1 All Habitats'!$AG$3:$AG$17,MATCH(E23,'G-1 All Habitats'!$AF$3:$AF$17,0)),"")</f>
        <v>Urban</v>
      </c>
      <c r="B23" s="35" t="str">
        <f>IFERROR(INDEX('G-8 Condition Look up'!$I$4:$I$135,MATCH(G23,'G-8 Condition Look up'!$A$4:$A$135,0)),"")</f>
        <v>Cond2</v>
      </c>
      <c r="D23" s="287">
        <v>13</v>
      </c>
      <c r="E23" s="267" t="s">
        <v>129</v>
      </c>
      <c r="F23" s="61" t="s">
        <v>691</v>
      </c>
      <c r="G23" s="52" t="str">
        <f>IFERROR(INDEX('G-1 All Habitats'!$B$3:$B$134,MATCH(F23,'G-1 All Habitats'!$A$3:$A$134,0)),"")</f>
        <v>Urban - Built linear features</v>
      </c>
      <c r="H23" s="53">
        <v>0.06</v>
      </c>
      <c r="I23" s="362" t="str">
        <f>IF(G23="","",VLOOKUP(G23,'G-1 All Habitats'!$B$2:$M$134,10,FALSE))</f>
        <v>V.Low</v>
      </c>
      <c r="J23" s="363">
        <f>IFERROR(VLOOKUP(I23,'G-1 All Habitats'!$V$3:$W$7,2,FALSE),"")</f>
        <v>0</v>
      </c>
      <c r="K23" s="54" t="s">
        <v>496</v>
      </c>
      <c r="L23" s="363">
        <f>IFERROR(INDEX('G-8 Condition Look up'!$A$3:$H$135,MATCH(G23,'G-8 Condition Look up'!$A$3:$A$135,0),MATCH(K23,'G-8 Condition Look up'!$A$3:$H$3,0)),"")</f>
        <v>0</v>
      </c>
      <c r="M23" s="54" t="s">
        <v>1034</v>
      </c>
      <c r="N23" s="382" t="str">
        <f>IF(M23="","",IF(VLOOKUP(M23,'G-3 Multipliers'!$L$3:$N$6,2,FALSE)=0,"Spatial Data Missing",VLOOKUP(M23,'G-3 Multipliers'!$L$3:$N$6,2,FALSE)))</f>
        <v>Low Strategic Significance</v>
      </c>
      <c r="O23" s="368">
        <f>IF(M23="","",IF(VLOOKUP(M23,'G-3 Multipliers'!$L$3:$N$6,3,FALSE)=0,"Spatial Data Missing ▲",VLOOKUP(M23,'G-3 Multipliers'!$L$3:$N$6,3,FALSE)))</f>
        <v>1</v>
      </c>
      <c r="P23" s="369" t="str">
        <f>IFERROR(VLOOKUP(G23,'G-1 All Habitats'!$B$2:$M$134,12,FALSE),"")</f>
        <v>Compensation Not Required</v>
      </c>
      <c r="Q23" s="376">
        <f>IFERROR(IF(P23="","",IF(AND(P23='G-1 All Habitats'!$X$3,T23&gt;0),U23+V23,IF(AND(P23='G-1 All Habitats'!$X$3,S23&gt;0),U23+V23,IF(AND(P23='G-1 All Habitats'!$X$3,AC23&gt;0),"Any Loss Unacceptable ⚠",IF(AND(P23='G-1 All Habitats'!$X$3,W23&gt;0),"Any Loss Unacceptable ⚠",H23*J23*L23*O23))))),"Check Data ▲")</f>
        <v>0</v>
      </c>
      <c r="R23" s="38"/>
      <c r="S23" s="54">
        <v>0.06</v>
      </c>
      <c r="T23" s="55"/>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0</v>
      </c>
      <c r="X23" s="378">
        <f>IFERROR(IF(H23="","",IF(H23-S23-T23=0&lt;0,"Error in Areas ▲",IF(S23+T23&gt;H23,"Error in Areas ▲",IF(AND(P23='G-1 All Habitats'!$X$3,Y23="Yes"),"Alternative Compensation ✓",IF(W23=0,0,IF(P23='G-1 All Habitats'!$X$3,"Any Loss Unacceptable ▲",Q23-U23-V23)))))),"Check Data ▲")</f>
        <v>0</v>
      </c>
      <c r="Y23" s="55"/>
      <c r="Z23" s="62" t="s">
        <v>1706</v>
      </c>
      <c r="AA23" s="526"/>
      <c r="AB23" s="120" t="s">
        <v>1701</v>
      </c>
      <c r="AC23" s="726" t="str">
        <f>IF(P23="","",IF(P23='G-1 All Habitats'!$X$3,H23-S23-T23,"None"))</f>
        <v>None</v>
      </c>
      <c r="AD23" s="727" t="str">
        <f>IF(P23="","", IF(P23='G-1 All Habitats'!$X$3, AC23*J23*L23*O23,"None"))</f>
        <v>None</v>
      </c>
      <c r="AF23" s="40" t="b">
        <f t="shared" si="0"/>
        <v>1</v>
      </c>
      <c r="AG23" s="40" t="b">
        <f t="shared" si="1"/>
        <v>0</v>
      </c>
      <c r="AH23" s="40" t="e">
        <f>IF(I23="","",IF(#REF!&gt;0,TRUE,FALSE))</f>
        <v>#REF!</v>
      </c>
      <c r="AI23" s="40">
        <v>13</v>
      </c>
      <c r="AJ23" s="40"/>
      <c r="AK23" s="40" t="str">
        <f t="array" ref="AK23">IFERROR(INDEX($AI$11:$AI$259, MATCH(0, IF(TRUE=$AF$11:$AF$259, COUNTIF($AK$10:$AK22, $AI$11:$AI$259), ""), 0)),"")</f>
        <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ht="41.4" x14ac:dyDescent="0.25">
      <c r="A24" s="35" t="str">
        <f>IFERROR(INDEX('G-1 All Habitats'!$AG$3:$AG$17,MATCH(E24,'G-1 All Habitats'!$AF$3:$AF$17,0)),"")</f>
        <v>Grassland</v>
      </c>
      <c r="B24" s="35" t="str">
        <f>IFERROR(INDEX('G-8 Condition Look up'!$I$4:$I$135,MATCH(G24,'G-8 Condition Look up'!$A$4:$A$135,0)),"")</f>
        <v>Cond4</v>
      </c>
      <c r="D24" s="287">
        <v>14</v>
      </c>
      <c r="E24" s="267" t="s">
        <v>125</v>
      </c>
      <c r="F24" s="61" t="s">
        <v>544</v>
      </c>
      <c r="G24" s="52" t="str">
        <f>IFERROR(INDEX('G-1 All Habitats'!$B$3:$B$134,MATCH(F24,'G-1 All Habitats'!$A$3:$A$134,0)),"")</f>
        <v>Grassland - Other neutral grassland</v>
      </c>
      <c r="H24" s="53">
        <f>0.261+0.079</f>
        <v>0.34</v>
      </c>
      <c r="I24" s="362" t="str">
        <f>IF(G24="","",VLOOKUP(G24,'G-1 All Habitats'!$B$2:$M$134,10,FALSE))</f>
        <v>Medium</v>
      </c>
      <c r="J24" s="363">
        <f>IFERROR(VLOOKUP(I24,'G-1 All Habitats'!$V$3:$W$7,2,FALSE),"")</f>
        <v>4</v>
      </c>
      <c r="K24" s="54" t="s">
        <v>67</v>
      </c>
      <c r="L24" s="363">
        <f>IFERROR(INDEX('G-8 Condition Look up'!$A$3:$H$135,MATCH(G24,'G-8 Condition Look up'!$A$3:$A$135,0),MATCH(K24,'G-8 Condition Look up'!$A$3:$H$3,0)),"")</f>
        <v>2</v>
      </c>
      <c r="M24" s="54" t="s">
        <v>1034</v>
      </c>
      <c r="N24" s="382" t="str">
        <f>IF(M24="","",IF(VLOOKUP(M24,'G-3 Multipliers'!$L$3:$N$6,2,FALSE)=0,"Spatial Data Missing",VLOOKUP(M24,'G-3 Multipliers'!$L$3:$N$6,2,FALSE)))</f>
        <v>Low Strategic Significance</v>
      </c>
      <c r="O24" s="368">
        <f>IF(M24="","",IF(VLOOKUP(M24,'G-3 Multipliers'!$L$3:$N$6,3,FALSE)=0,"Spatial Data Missing ▲",VLOOKUP(M24,'G-3 Multipliers'!$L$3:$N$6,3,FALSE)))</f>
        <v>1</v>
      </c>
      <c r="P24" s="369" t="str">
        <f>IFERROR(VLOOKUP(G24,'G-1 All Habitats'!$B$2:$M$134,12,FALSE),"")</f>
        <v>Same broad habitat or a higher distinctiveness habitat required (≥)</v>
      </c>
      <c r="Q24" s="376">
        <f>IFERROR(IF(P24="","",IF(AND(P24='G-1 All Habitats'!$X$3,T24&gt;0),U24+V24,IF(AND(P24='G-1 All Habitats'!$X$3,S24&gt;0),U24+V24,IF(AND(P24='G-1 All Habitats'!$X$3,AC24&gt;0),"Any Loss Unacceptable ⚠",IF(AND(P24='G-1 All Habitats'!$X$3,W24&gt;0),"Any Loss Unacceptable ⚠",H24*J24*L24*O24))))),"Check Data ▲")</f>
        <v>2.72</v>
      </c>
      <c r="R24" s="38"/>
      <c r="S24" s="54">
        <f>0.261+0.079</f>
        <v>0.34</v>
      </c>
      <c r="T24" s="55"/>
      <c r="U24" s="374">
        <f t="shared" si="3"/>
        <v>2.72</v>
      </c>
      <c r="V24" s="374">
        <f t="shared" si="4"/>
        <v>0</v>
      </c>
      <c r="W24" s="374">
        <f>IF(E24="","",IF(H24&lt;S24+T24,"Error in Areas ▲",IF(P24&lt;&gt;'G-1 All Habitats'!$X$3,H24-S24-T24,IF(AND(P24='G-1 All Habitats'!$X$3,Y24="Yes"),"Unacceptable Loss ⚠",IF(AND(P24='G-1 All Habitats'!$X$3,Y24="No"),AC24,IF(AND(P24='G-1 All Habitats'!$X$3,Y24=""),AC24,IF(AND(P24='G-1 All Habitats'!$X$3,AC24="None",AC24),IF(AND(P24='G-1 All Habitats'!$X$3,AC24&gt;0),H24-S24-T24))))))))</f>
        <v>0</v>
      </c>
      <c r="X24" s="378">
        <f>IFERROR(IF(H24="","",IF(H24-S24-T24=0&lt;0,"Error in Areas ▲",IF(S24+T24&gt;H24,"Error in Areas ▲",IF(AND(P24='G-1 All Habitats'!$X$3,Y24="Yes"),"Alternative Compensation ✓",IF(W24=0,0,IF(P24='G-1 All Habitats'!$X$3,"Any Loss Unacceptable ▲",Q24-U24-V24)))))),"Check Data ▲")</f>
        <v>0</v>
      </c>
      <c r="Y24" s="55"/>
      <c r="Z24" s="62" t="s">
        <v>1709</v>
      </c>
      <c r="AA24" s="526"/>
      <c r="AB24" s="120"/>
      <c r="AC24" s="726" t="str">
        <f>IF(P24="","",IF(P24='G-1 All Habitats'!$X$3,H24-S24-T24,"None"))</f>
        <v>None</v>
      </c>
      <c r="AD24" s="727" t="str">
        <f>IF(P24="","", IF(P24='G-1 All Habitats'!$X$3, AC24*J24*L24*O24,"None"))</f>
        <v>None</v>
      </c>
      <c r="AF24" s="40" t="b">
        <f t="shared" si="0"/>
        <v>1</v>
      </c>
      <c r="AG24" s="40" t="b">
        <f t="shared" si="1"/>
        <v>0</v>
      </c>
      <c r="AH24" s="40" t="e">
        <f>IF(I24="","",IF(#REF!&gt;0,TRUE,FALSE))</f>
        <v>#REF!</v>
      </c>
      <c r="AI24" s="40">
        <v>14</v>
      </c>
      <c r="AJ24" s="40"/>
      <c r="AK24" s="40" t="str">
        <f t="array" ref="AK24">IFERROR(INDEX($AI$11:$AI$259, MATCH(0, IF(TRUE=$AF$11:$AF$259, COUNTIF($AK$10:$AK23, $AI$11:$AI$259), ""), 0)),"")</f>
        <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ht="41.4" x14ac:dyDescent="0.25">
      <c r="A25" s="35" t="str">
        <f>IFERROR(INDEX('G-1 All Habitats'!$AG$3:$AG$17,MATCH(E25,'G-1 All Habitats'!$AF$3:$AF$17,0)),"")</f>
        <v>Woodland_and_forest</v>
      </c>
      <c r="B25" s="35" t="str">
        <f>IFERROR(INDEX('G-8 Condition Look up'!$I$4:$I$135,MATCH(G25,'G-8 Condition Look up'!$A$4:$A$135,0)),"")</f>
        <v>Cond4</v>
      </c>
      <c r="D25" s="287">
        <v>15</v>
      </c>
      <c r="E25" s="267" t="s">
        <v>131</v>
      </c>
      <c r="F25" s="61" t="s">
        <v>800</v>
      </c>
      <c r="G25" s="52" t="str">
        <f>IFERROR(INDEX('G-1 All Habitats'!$B$3:$B$134,MATCH(F25,'G-1 All Habitats'!$A$3:$A$134,0)),"")</f>
        <v>Woodland and forest - Other woodland; broadleaved</v>
      </c>
      <c r="H25" s="53">
        <v>0.32500000000000001</v>
      </c>
      <c r="I25" s="362" t="str">
        <f>IF(G25="","",VLOOKUP(G25,'G-1 All Habitats'!$B$2:$M$134,10,FALSE))</f>
        <v>Medium</v>
      </c>
      <c r="J25" s="363">
        <f>IFERROR(VLOOKUP(I25,'G-1 All Habitats'!$V$3:$W$7,2,FALSE),"")</f>
        <v>4</v>
      </c>
      <c r="K25" s="54" t="s">
        <v>67</v>
      </c>
      <c r="L25" s="363">
        <f>IFERROR(INDEX('G-8 Condition Look up'!$A$3:$H$135,MATCH(G25,'G-8 Condition Look up'!$A$3:$A$135,0),MATCH(K25,'G-8 Condition Look up'!$A$3:$H$3,0)),"")</f>
        <v>2</v>
      </c>
      <c r="M25" s="54" t="s">
        <v>1034</v>
      </c>
      <c r="N25" s="382" t="str">
        <f>IF(M25="","",IF(VLOOKUP(M25,'G-3 Multipliers'!$L$3:$N$6,2,FALSE)=0,"Spatial Data Missing",VLOOKUP(M25,'G-3 Multipliers'!$L$3:$N$6,2,FALSE)))</f>
        <v>Low Strategic Significance</v>
      </c>
      <c r="O25" s="368">
        <f>IF(M25="","",IF(VLOOKUP(M25,'G-3 Multipliers'!$L$3:$N$6,3,FALSE)=0,"Spatial Data Missing ▲",VLOOKUP(M25,'G-3 Multipliers'!$L$3:$N$6,3,FALSE)))</f>
        <v>1</v>
      </c>
      <c r="P25" s="369" t="str">
        <f>IFERROR(VLOOKUP(G25,'G-1 All Habitats'!$B$2:$M$134,12,FALSE),"")</f>
        <v>Same broad habitat or a higher distinctiveness habitat required (≥)</v>
      </c>
      <c r="Q25" s="376">
        <f>IFERROR(IF(P25="","",IF(AND(P25='G-1 All Habitats'!$X$3,T25&gt;0),U25+V25,IF(AND(P25='G-1 All Habitats'!$X$3,S25&gt;0),U25+V25,IF(AND(P25='G-1 All Habitats'!$X$3,AC25&gt;0),"Any Loss Unacceptable ⚠",IF(AND(P25='G-1 All Habitats'!$X$3,W25&gt;0),"Any Loss Unacceptable ⚠",H25*J25*L25*O25))))),"Check Data ▲")</f>
        <v>2.6</v>
      </c>
      <c r="R25" s="38"/>
      <c r="S25" s="54">
        <v>0.32500000000000001</v>
      </c>
      <c r="T25" s="55"/>
      <c r="U25" s="374">
        <f t="shared" si="3"/>
        <v>2.6</v>
      </c>
      <c r="V25" s="374">
        <f t="shared" si="4"/>
        <v>0</v>
      </c>
      <c r="W25" s="374">
        <f>IF(E25="","",IF(H25&lt;S25+T25,"Error in Areas ▲",IF(P25&lt;&gt;'G-1 All Habitats'!$X$3,H25-S25-T25,IF(AND(P25='G-1 All Habitats'!$X$3,Y25="Yes"),"Unacceptable Loss ⚠",IF(AND(P25='G-1 All Habitats'!$X$3,Y25="No"),AC25,IF(AND(P25='G-1 All Habitats'!$X$3,Y25=""),AC25,IF(AND(P25='G-1 All Habitats'!$X$3,AC25="None",AC25),IF(AND(P25='G-1 All Habitats'!$X$3,AC25&gt;0),H25-S25-T25))))))))</f>
        <v>0</v>
      </c>
      <c r="X25" s="378">
        <f>IFERROR(IF(H25="","",IF(H25-S25-T25=0&lt;0,"Error in Areas ▲",IF(S25+T25&gt;H25,"Error in Areas ▲",IF(AND(P25='G-1 All Habitats'!$X$3,Y25="Yes"),"Alternative Compensation ✓",IF(W25=0,0,IF(P25='G-1 All Habitats'!$X$3,"Any Loss Unacceptable ▲",Q25-U25-V25)))))),"Check Data ▲")</f>
        <v>0</v>
      </c>
      <c r="Y25" s="55"/>
      <c r="Z25" s="62" t="s">
        <v>1710</v>
      </c>
      <c r="AA25" s="526"/>
      <c r="AB25" s="120"/>
      <c r="AC25" s="726" t="str">
        <f>IF(P25="","",IF(P25='G-1 All Habitats'!$X$3,H25-S25-T25,"None"))</f>
        <v>None</v>
      </c>
      <c r="AD25" s="727" t="str">
        <f>IF(P25="","", IF(P25='G-1 All Habitats'!$X$3, AC25*J25*L25*O25,"None"))</f>
        <v>None</v>
      </c>
      <c r="AF25" s="40" t="b">
        <f t="shared" si="0"/>
        <v>1</v>
      </c>
      <c r="AG25" s="40" t="b">
        <f t="shared" si="1"/>
        <v>0</v>
      </c>
      <c r="AH25" s="40" t="e">
        <f>IF(I25="","",IF(#REF!&gt;0,TRUE,FALSE))</f>
        <v>#REF!</v>
      </c>
      <c r="AI25" s="40">
        <v>15</v>
      </c>
      <c r="AJ25" s="40"/>
      <c r="AK25" s="40" t="str">
        <f t="array" ref="AK25">IFERROR(INDEX($AI$11:$AI$259, MATCH(0, IF(TRUE=$AF$11:$AF$259, COUNTIF($AK$10:$AK24, $AI$11:$AI$259), ""), 0)),"")</f>
        <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x14ac:dyDescent="0.25">
      <c r="A26" s="35" t="str">
        <f>IFERROR(INDEX('G-1 All Habitats'!$AG$3:$AG$17,MATCH(E26,'G-1 All Habitats'!$AF$3:$AF$17,0)),"")</f>
        <v/>
      </c>
      <c r="B26" s="35" t="str">
        <f>IFERROR(INDEX('G-8 Condition Look up'!$I$4:$I$135,MATCH(G26,'G-8 Condition Look up'!$A$4:$A$135,0)),"")</f>
        <v/>
      </c>
      <c r="D26" s="287">
        <v>16</v>
      </c>
      <c r="E26" s="267"/>
      <c r="F26" s="61"/>
      <c r="G26" s="52" t="str">
        <f>IFERROR(INDEX('G-1 All Habitats'!$B$3:$B$134,MATCH(F26,'G-1 All Habitats'!$A$3:$A$134,0)),"")</f>
        <v/>
      </c>
      <c r="H26" s="53"/>
      <c r="I26" s="362" t="str">
        <f>IF(G26="","",VLOOKUP(G26,'G-1 All Habitats'!$B$2:$M$134,10,FALSE))</f>
        <v/>
      </c>
      <c r="J26" s="363" t="str">
        <f>IFERROR(VLOOKUP(I26,'G-1 All Habitats'!$V$3:$W$7,2,FALSE),"")</f>
        <v/>
      </c>
      <c r="K26" s="54"/>
      <c r="L26" s="363" t="str">
        <f>IFERROR(INDEX('G-8 Condition Look up'!$A$3:$H$135,MATCH(G26,'G-8 Condition Look up'!$A$3:$A$135,0),MATCH(K26,'G-8 Condition Look up'!$A$3:$H$3,0)),"")</f>
        <v/>
      </c>
      <c r="M26" s="54"/>
      <c r="N26" s="382" t="str">
        <f>IF(M26="","",IF(VLOOKUP(M26,'G-3 Multipliers'!$L$3:$N$6,2,FALSE)=0,"Spatial Data Missing",VLOOKUP(M26,'G-3 Multipliers'!$L$3:$N$6,2,FALSE)))</f>
        <v/>
      </c>
      <c r="O26" s="368" t="str">
        <f>IF(M26="","",IF(VLOOKUP(M26,'G-3 Multipliers'!$L$3:$N$6,3,FALSE)=0,"Spatial Data Missing ▲",VLOOKUP(M26,'G-3 Multipliers'!$L$3:$N$6,3,FALSE)))</f>
        <v/>
      </c>
      <c r="P26" s="369" t="str">
        <f>IFERROR(VLOOKUP(G26,'G-1 All Habitats'!$B$2:$M$134,12,FALSE),"")</f>
        <v/>
      </c>
      <c r="Q26" s="376" t="str">
        <f>IFERROR(IF(P26="","",IF(AND(P26='G-1 All Habitats'!$X$3,T26&gt;0),U26+V26,IF(AND(P26='G-1 All Habitats'!$X$3,S26&gt;0),U26+V26,IF(AND(P26='G-1 All Habitats'!$X$3,AC26&gt;0),"Any Loss Unacceptable ⚠",IF(AND(P26='G-1 All Habitats'!$X$3,W26&gt;0),"Any Loss Unacceptable ⚠",H26*J26*L26*O26))))),"Check Data ▲")</f>
        <v/>
      </c>
      <c r="R26" s="38"/>
      <c r="S26" s="54"/>
      <c r="T26" s="55"/>
      <c r="U26" s="374" t="str">
        <f t="shared" si="3"/>
        <v/>
      </c>
      <c r="V26" s="374" t="str">
        <f t="shared" si="4"/>
        <v/>
      </c>
      <c r="W26" s="374" t="str">
        <f>IF(E26="","",IF(H26&lt;S26+T26,"Error in Areas ▲",IF(P26&lt;&gt;'G-1 All Habitats'!$X$3,H26-S26-T26,IF(AND(P26='G-1 All Habitats'!$X$3,Y26="Yes"),"Unacceptable Loss ⚠",IF(AND(P26='G-1 All Habitats'!$X$3,Y26="No"),AC26,IF(AND(P26='G-1 All Habitats'!$X$3,Y26=""),AC26,IF(AND(P26='G-1 All Habitats'!$X$3,AC26="None",AC26),IF(AND(P26='G-1 All Habitats'!$X$3,AC26&gt;0),H26-S26-T26))))))))</f>
        <v/>
      </c>
      <c r="X26" s="378" t="str">
        <f>IFERROR(IF(H26="","",IF(H26-S26-T26=0&lt;0,"Error in Areas ▲",IF(S26+T26&gt;H26,"Error in Areas ▲",IF(AND(P26='G-1 All Habitats'!$X$3,Y26="Yes"),"Alternative Compensation ✓",IF(W26=0,0,IF(P26='G-1 All Habitats'!$X$3,"Any Loss Unacceptable ▲",Q26-U26-V26)))))),"Check Data ▲")</f>
        <v/>
      </c>
      <c r="Y26" s="55"/>
      <c r="Z26" s="62"/>
      <c r="AA26" s="526"/>
      <c r="AB26" s="120"/>
      <c r="AC26" s="726" t="str">
        <f>IF(P26="","",IF(P26='G-1 All Habitats'!$X$3,H26-S26-T26,"None"))</f>
        <v/>
      </c>
      <c r="AD26" s="727" t="str">
        <f>IF(P26="","", IF(P26='G-1 All Habitats'!$X$3, AC26*J26*L26*O26,"None"))</f>
        <v/>
      </c>
      <c r="AF26" s="40" t="str">
        <f t="shared" si="0"/>
        <v/>
      </c>
      <c r="AG26" s="40" t="str">
        <f t="shared" si="1"/>
        <v/>
      </c>
      <c r="AH26" s="40" t="str">
        <f>IF(I26="","",IF(#REF!&gt;0,TRUE,FALSE))</f>
        <v/>
      </c>
      <c r="AI26" s="40">
        <v>16</v>
      </c>
      <c r="AJ26" s="40"/>
      <c r="AK26" s="40" t="str">
        <f t="array" ref="AK26">IFERROR(INDEX($AI$11:$AI$259, MATCH(0, IF(TRUE=$AF$11:$AF$259, COUNTIF($AK$10:$AK25, $AI$11:$AI$259), ""), 0)),"")</f>
        <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x14ac:dyDescent="0.25">
      <c r="A27" s="35" t="str">
        <f>IFERROR(INDEX('G-1 All Habitats'!$AG$3:$AG$17,MATCH(E27,'G-1 All Habitats'!$AF$3:$AF$17,0)),"")</f>
        <v/>
      </c>
      <c r="B27" s="35" t="str">
        <f>IFERROR(INDEX('G-8 Condition Look up'!$I$4:$I$135,MATCH(G27,'G-8 Condition Look up'!$A$4:$A$135,0)),"")</f>
        <v/>
      </c>
      <c r="D27" s="287">
        <v>17</v>
      </c>
      <c r="E27" s="267"/>
      <c r="F27" s="61"/>
      <c r="G27" s="52" t="str">
        <f>IFERROR(INDEX('G-1 All Habitats'!$B$3:$B$134,MATCH(F27,'G-1 All Habitats'!$A$3:$A$134,0)),"")</f>
        <v/>
      </c>
      <c r="H27" s="53"/>
      <c r="I27" s="362" t="str">
        <f>IF(G27="","",VLOOKUP(G27,'G-1 All Habitats'!$B$2:$M$134,10,FALSE))</f>
        <v/>
      </c>
      <c r="J27" s="363" t="str">
        <f>IFERROR(VLOOKUP(I27,'G-1 All Habitats'!$V$3:$W$7,2,FALSE),"")</f>
        <v/>
      </c>
      <c r="K27" s="54"/>
      <c r="L27" s="363" t="str">
        <f>IFERROR(INDEX('G-8 Condition Look up'!$A$3:$H$135,MATCH(G27,'G-8 Condition Look up'!$A$3:$A$135,0),MATCH(K27,'G-8 Condition Look up'!$A$3:$H$3,0)),"")</f>
        <v/>
      </c>
      <c r="M27" s="54"/>
      <c r="N27" s="382" t="str">
        <f>IF(M27="","",IF(VLOOKUP(M27,'G-3 Multipliers'!$L$3:$N$6,2,FALSE)=0,"Spatial Data Missing",VLOOKUP(M27,'G-3 Multipliers'!$L$3:$N$6,2,FALSE)))</f>
        <v/>
      </c>
      <c r="O27" s="368" t="str">
        <f>IF(M27="","",IF(VLOOKUP(M27,'G-3 Multipliers'!$L$3:$N$6,3,FALSE)=0,"Spatial Data Missing ▲",VLOOKUP(M27,'G-3 Multipliers'!$L$3:$N$6,3,FALSE)))</f>
        <v/>
      </c>
      <c r="P27" s="369" t="str">
        <f>IFERROR(VLOOKUP(G27,'G-1 All Habitats'!$B$2:$M$134,12,FALSE),"")</f>
        <v/>
      </c>
      <c r="Q27" s="376" t="str">
        <f>IFERROR(IF(P27="","",IF(AND(P27='G-1 All Habitats'!$X$3,T27&gt;0),U27+V27,IF(AND(P27='G-1 All Habitats'!$X$3,S27&gt;0),U27+V27,IF(AND(P27='G-1 All Habitats'!$X$3,AC27&gt;0),"Any Loss Unacceptable ⚠",IF(AND(P27='G-1 All Habitats'!$X$3,W27&gt;0),"Any Loss Unacceptable ⚠",H27*J27*L27*O27))))),"Check Data ▲")</f>
        <v/>
      </c>
      <c r="R27" s="38"/>
      <c r="S27" s="54"/>
      <c r="T27" s="55"/>
      <c r="U27" s="374" t="str">
        <f t="shared" si="3"/>
        <v/>
      </c>
      <c r="V27" s="374" t="str">
        <f t="shared" si="4"/>
        <v/>
      </c>
      <c r="W27" s="374" t="str">
        <f>IF(E27="","",IF(H27&lt;S27+T27,"Error in Areas ▲",IF(P27&lt;&gt;'G-1 All Habitats'!$X$3,H27-S27-T27,IF(AND(P27='G-1 All Habitats'!$X$3,Y27="Yes"),"Unacceptable Loss ⚠",IF(AND(P27='G-1 All Habitats'!$X$3,Y27="No"),AC27,IF(AND(P27='G-1 All Habitats'!$X$3,Y27=""),AC27,IF(AND(P27='G-1 All Habitats'!$X$3,AC27="None",AC27),IF(AND(P27='G-1 All Habitats'!$X$3,AC27&gt;0),H27-S27-T27))))))))</f>
        <v/>
      </c>
      <c r="X27" s="378" t="str">
        <f>IFERROR(IF(H27="","",IF(H27-S27-T27=0&lt;0,"Error in Areas ▲",IF(S27+T27&gt;H27,"Error in Areas ▲",IF(AND(P27='G-1 All Habitats'!$X$3,Y27="Yes"),"Alternative Compensation ✓",IF(W27=0,0,IF(P27='G-1 All Habitats'!$X$3,"Any Loss Unacceptable ▲",Q27-U27-V27)))))),"Check Data ▲")</f>
        <v/>
      </c>
      <c r="Y27" s="55"/>
      <c r="Z27" s="62"/>
      <c r="AA27" s="526"/>
      <c r="AB27" s="120"/>
      <c r="AC27" s="726" t="str">
        <f>IF(P27="","",IF(P27='G-1 All Habitats'!$X$3,H27-S27-T27,"None"))</f>
        <v/>
      </c>
      <c r="AD27" s="727" t="str">
        <f>IF(P27="","", IF(P27='G-1 All Habitats'!$X$3, AC27*J27*L27*O27,"None"))</f>
        <v/>
      </c>
      <c r="AF27" s="40" t="str">
        <f t="shared" si="0"/>
        <v/>
      </c>
      <c r="AG27" s="40" t="str">
        <f t="shared" si="1"/>
        <v/>
      </c>
      <c r="AH27" s="40" t="str">
        <f>IF(I27="","",IF(#REF!&gt;0,TRUE,FALSE))</f>
        <v/>
      </c>
      <c r="AI27" s="40">
        <v>17</v>
      </c>
      <c r="AJ27" s="40"/>
      <c r="AK27" s="40" t="str">
        <f t="array" ref="AK27">IFERROR(INDEX($AI$11:$AI$259, MATCH(0, IF(TRUE=$AF$11:$AF$259, COUNTIF($AK$10:$AK26, $AI$11:$AI$259), ""), 0)),"")</f>
        <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x14ac:dyDescent="0.25">
      <c r="A28" s="35" t="str">
        <f>IFERROR(INDEX('G-1 All Habitats'!$AG$3:$AG$17,MATCH(E28,'G-1 All Habitats'!$AF$3:$AF$17,0)),"")</f>
        <v/>
      </c>
      <c r="B28" s="35" t="str">
        <f>IFERROR(INDEX('G-8 Condition Look up'!$I$4:$I$135,MATCH(G28,'G-8 Condition Look up'!$A$4:$A$135,0)),"")</f>
        <v/>
      </c>
      <c r="D28" s="287">
        <v>18</v>
      </c>
      <c r="E28" s="267"/>
      <c r="F28" s="61"/>
      <c r="G28" s="52" t="str">
        <f>IFERROR(INDEX('G-1 All Habitats'!$B$3:$B$134,MATCH(F28,'G-1 All Habitats'!$A$3:$A$134,0)),"")</f>
        <v/>
      </c>
      <c r="H28" s="53"/>
      <c r="I28" s="362" t="str">
        <f>IF(G28="","",VLOOKUP(G28,'G-1 All Habitats'!$B$2:$M$134,10,FALSE))</f>
        <v/>
      </c>
      <c r="J28" s="363" t="str">
        <f>IFERROR(VLOOKUP(I28,'G-1 All Habitats'!$V$3:$W$7,2,FALSE),"")</f>
        <v/>
      </c>
      <c r="K28" s="54"/>
      <c r="L28" s="363" t="str">
        <f>IFERROR(INDEX('G-8 Condition Look up'!$A$3:$H$135,MATCH(G28,'G-8 Condition Look up'!$A$3:$A$135,0),MATCH(K28,'G-8 Condition Look up'!$A$3:$H$3,0)),"")</f>
        <v/>
      </c>
      <c r="M28" s="54"/>
      <c r="N28" s="382" t="str">
        <f>IF(M28="","",IF(VLOOKUP(M28,'G-3 Multipliers'!$L$3:$N$6,2,FALSE)=0,"Spatial Data Missing",VLOOKUP(M28,'G-3 Multipliers'!$L$3:$N$6,2,FALSE)))</f>
        <v/>
      </c>
      <c r="O28" s="368" t="str">
        <f>IF(M28="","",IF(VLOOKUP(M28,'G-3 Multipliers'!$L$3:$N$6,3,FALSE)=0,"Spatial Data Missing ▲",VLOOKUP(M28,'G-3 Multipliers'!$L$3:$N$6,3,FALSE)))</f>
        <v/>
      </c>
      <c r="P28" s="369" t="str">
        <f>IFERROR(VLOOKUP(G28,'G-1 All Habitats'!$B$2:$M$134,12,FALSE),"")</f>
        <v/>
      </c>
      <c r="Q28" s="376" t="str">
        <f>IFERROR(IF(P28="","",IF(AND(P28='G-1 All Habitats'!$X$3,T28&gt;0),U28+V28,IF(AND(P28='G-1 All Habitats'!$X$3,S28&gt;0),U28+V28,IF(AND(P28='G-1 All Habitats'!$X$3,AC28&gt;0),"Any Loss Unacceptable ⚠",IF(AND(P28='G-1 All Habitats'!$X$3,W28&gt;0),"Any Loss Unacceptable ⚠",H28*J28*L28*O28))))),"Check Data ▲")</f>
        <v/>
      </c>
      <c r="R28" s="38"/>
      <c r="S28" s="54"/>
      <c r="T28" s="55"/>
      <c r="U28" s="374" t="str">
        <f t="shared" si="3"/>
        <v/>
      </c>
      <c r="V28" s="374" t="str">
        <f t="shared" si="4"/>
        <v/>
      </c>
      <c r="W28" s="374" t="str">
        <f>IF(E28="","",IF(H28&lt;S28+T28,"Error in Areas ▲",IF(P28&lt;&gt;'G-1 All Habitats'!$X$3,H28-S28-T28,IF(AND(P28='G-1 All Habitats'!$X$3,Y28="Yes"),"Unacceptable Loss ⚠",IF(AND(P28='G-1 All Habitats'!$X$3,Y28="No"),AC28,IF(AND(P28='G-1 All Habitats'!$X$3,Y28=""),AC28,IF(AND(P28='G-1 All Habitats'!$X$3,AC28="None",AC28),IF(AND(P28='G-1 All Habitats'!$X$3,AC28&gt;0),H28-S28-T28))))))))</f>
        <v/>
      </c>
      <c r="X28" s="378" t="str">
        <f>IFERROR(IF(H28="","",IF(H28-S28-T28=0&lt;0,"Error in Areas ▲",IF(S28+T28&gt;H28,"Error in Areas ▲",IF(AND(P28='G-1 All Habitats'!$X$3,Y28="Yes"),"Alternative Compensation ✓",IF(W28=0,0,IF(P28='G-1 All Habitats'!$X$3,"Any Loss Unacceptable ▲",Q28-U28-V28)))))),"Check Data ▲")</f>
        <v/>
      </c>
      <c r="Y28" s="55"/>
      <c r="Z28" s="62"/>
      <c r="AA28" s="526"/>
      <c r="AB28" s="120"/>
      <c r="AC28" s="726" t="str">
        <f>IF(P28="","",IF(P28='G-1 All Habitats'!$X$3,H28-S28-T28,"None"))</f>
        <v/>
      </c>
      <c r="AD28" s="727" t="str">
        <f>IF(P28="","", IF(P28='G-1 All Habitats'!$X$3, AC28*J28*L28*O28,"None"))</f>
        <v/>
      </c>
      <c r="AF28" s="40" t="str">
        <f t="shared" si="0"/>
        <v/>
      </c>
      <c r="AG28" s="40" t="str">
        <f t="shared" si="1"/>
        <v/>
      </c>
      <c r="AH28" s="40" t="str">
        <f>IF(I28="","",IF(#REF!&gt;0,TRUE,FALSE))</f>
        <v/>
      </c>
      <c r="AI28" s="40">
        <v>18</v>
      </c>
      <c r="AJ28" s="40"/>
      <c r="AK28" s="40" t="str">
        <f t="array" ref="AK28">IFERROR(INDEX($AI$11:$AI$259, MATCH(0, IF(TRUE=$AF$11:$AF$259, COUNTIF($AK$10:$AK27, $AI$11:$AI$259), ""), 0)),"")</f>
        <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x14ac:dyDescent="0.25">
      <c r="A29" s="35" t="str">
        <f>IFERROR(INDEX('G-1 All Habitats'!$AG$3:$AG$17,MATCH(E29,'G-1 All Habitats'!$AF$3:$AF$17,0)),"")</f>
        <v/>
      </c>
      <c r="B29" s="35" t="str">
        <f>IFERROR(INDEX('G-8 Condition Look up'!$I$4:$I$135,MATCH(G29,'G-8 Condition Look up'!$A$4:$A$135,0)),"")</f>
        <v/>
      </c>
      <c r="D29" s="287">
        <v>19</v>
      </c>
      <c r="E29" s="267"/>
      <c r="F29" s="61"/>
      <c r="G29" s="52" t="str">
        <f>IFERROR(INDEX('G-1 All Habitats'!$B$3:$B$134,MATCH(F29,'G-1 All Habitats'!$A$3:$A$134,0)),"")</f>
        <v/>
      </c>
      <c r="H29" s="53"/>
      <c r="I29" s="362" t="str">
        <f>IF(G29="","",VLOOKUP(G29,'G-1 All Habitats'!$B$2:$M$134,10,FALSE))</f>
        <v/>
      </c>
      <c r="J29" s="363" t="str">
        <f>IFERROR(VLOOKUP(I29,'G-1 All Habitats'!$V$3:$W$7,2,FALSE),"")</f>
        <v/>
      </c>
      <c r="K29" s="54"/>
      <c r="L29" s="363" t="str">
        <f>IFERROR(INDEX('G-8 Condition Look up'!$A$3:$H$135,MATCH(G29,'G-8 Condition Look up'!$A$3:$A$135,0),MATCH(K29,'G-8 Condition Look up'!$A$3:$H$3,0)),"")</f>
        <v/>
      </c>
      <c r="M29" s="54"/>
      <c r="N29" s="382" t="str">
        <f>IF(M29="","",IF(VLOOKUP(M29,'G-3 Multipliers'!$L$3:$N$6,2,FALSE)=0,"Spatial Data Missing",VLOOKUP(M29,'G-3 Multipliers'!$L$3:$N$6,2,FALSE)))</f>
        <v/>
      </c>
      <c r="O29" s="368" t="str">
        <f>IF(M29="","",IF(VLOOKUP(M29,'G-3 Multipliers'!$L$3:$N$6,3,FALSE)=0,"Spatial Data Missing ▲",VLOOKUP(M29,'G-3 Multipliers'!$L$3:$N$6,3,FALSE)))</f>
        <v/>
      </c>
      <c r="P29" s="369" t="str">
        <f>IFERROR(VLOOKUP(G29,'G-1 All Habitats'!$B$2:$M$134,12,FALSE),"")</f>
        <v/>
      </c>
      <c r="Q29" s="376" t="str">
        <f>IFERROR(IF(P29="","",IF(AND(P29='G-1 All Habitats'!$X$3,T29&gt;0),U29+V29,IF(AND(P29='G-1 All Habitats'!$X$3,S29&gt;0),U29+V29,IF(AND(P29='G-1 All Habitats'!$X$3,AC29&gt;0),"Any Loss Unacceptable ⚠",IF(AND(P29='G-1 All Habitats'!$X$3,W29&gt;0),"Any Loss Unacceptable ⚠",H29*J29*L29*O29))))),"Check Data ▲")</f>
        <v/>
      </c>
      <c r="R29" s="38"/>
      <c r="S29" s="54"/>
      <c r="T29" s="55"/>
      <c r="U29" s="374" t="str">
        <f t="shared" si="3"/>
        <v/>
      </c>
      <c r="V29" s="374" t="str">
        <f t="shared" si="4"/>
        <v/>
      </c>
      <c r="W29" s="374" t="str">
        <f>IF(E29="","",IF(H29&lt;S29+T29,"Error in Areas ▲",IF(P29&lt;&gt;'G-1 All Habitats'!$X$3,H29-S29-T29,IF(AND(P29='G-1 All Habitats'!$X$3,Y29="Yes"),"Unacceptable Loss ⚠",IF(AND(P29='G-1 All Habitats'!$X$3,Y29="No"),AC29,IF(AND(P29='G-1 All Habitats'!$X$3,Y29=""),AC29,IF(AND(P29='G-1 All Habitats'!$X$3,AC29="None",AC29),IF(AND(P29='G-1 All Habitats'!$X$3,AC29&gt;0),H29-S29-T29))))))))</f>
        <v/>
      </c>
      <c r="X29" s="378" t="str">
        <f>IFERROR(IF(H29="","",IF(H29-S29-T29=0&lt;0,"Error in Areas ▲",IF(S29+T29&gt;H29,"Error in Areas ▲",IF(AND(P29='G-1 All Habitats'!$X$3,Y29="Yes"),"Alternative Compensation ✓",IF(W29=0,0,IF(P29='G-1 All Habitats'!$X$3,"Any Loss Unacceptable ▲",Q29-U29-V29)))))),"Check Data ▲")</f>
        <v/>
      </c>
      <c r="Y29" s="55"/>
      <c r="Z29" s="62"/>
      <c r="AA29" s="526"/>
      <c r="AB29" s="120"/>
      <c r="AC29" s="726" t="str">
        <f>IF(P29="","",IF(P29='G-1 All Habitats'!$X$3,H29-S29-T29,"None"))</f>
        <v/>
      </c>
      <c r="AD29" s="727" t="str">
        <f>IF(P29="","", IF(P29='G-1 All Habitats'!$X$3, AC29*J29*L29*O29,"None"))</f>
        <v/>
      </c>
      <c r="AF29" s="40" t="str">
        <f t="shared" si="0"/>
        <v/>
      </c>
      <c r="AG29" s="40" t="str">
        <f t="shared" si="1"/>
        <v/>
      </c>
      <c r="AH29" s="40" t="str">
        <f>IF(I29="","",IF(#REF!&gt;0,TRUE,FALSE))</f>
        <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x14ac:dyDescent="0.25">
      <c r="A30" s="35" t="str">
        <f>IFERROR(INDEX('G-1 All Habitats'!$AG$3:$AG$17,MATCH(E30,'G-1 All Habitats'!$AF$3:$AF$17,0)),"")</f>
        <v/>
      </c>
      <c r="B30" s="35" t="str">
        <f>IFERROR(INDEX('G-8 Condition Look up'!$I$4:$I$135,MATCH(G30,'G-8 Condition Look up'!$A$4:$A$135,0)),"")</f>
        <v/>
      </c>
      <c r="D30" s="287">
        <v>20</v>
      </c>
      <c r="E30" s="267"/>
      <c r="F30" s="61"/>
      <c r="G30" s="52" t="str">
        <f>IFERROR(INDEX('G-1 All Habitats'!$B$3:$B$134,MATCH(F30,'G-1 All Habitats'!$A$3:$A$134,0)),"")</f>
        <v/>
      </c>
      <c r="H30" s="53"/>
      <c r="I30" s="362" t="str">
        <f>IF(G30="","",VLOOKUP(G30,'G-1 All Habitats'!$B$2:$M$134,10,FALSE))</f>
        <v/>
      </c>
      <c r="J30" s="363" t="str">
        <f>IFERROR(VLOOKUP(I30,'G-1 All Habitats'!$V$3:$W$7,2,FALSE),"")</f>
        <v/>
      </c>
      <c r="K30" s="54"/>
      <c r="L30" s="363" t="str">
        <f>IFERROR(INDEX('G-8 Condition Look up'!$A$3:$H$135,MATCH(G30,'G-8 Condition Look up'!$A$3:$A$135,0),MATCH(K30,'G-8 Condition Look up'!$A$3:$H$3,0)),"")</f>
        <v/>
      </c>
      <c r="M30" s="54"/>
      <c r="N30" s="382" t="str">
        <f>IF(M30="","",IF(VLOOKUP(M30,'G-3 Multipliers'!$L$3:$N$6,2,FALSE)=0,"Spatial Data Missing",VLOOKUP(M30,'G-3 Multipliers'!$L$3:$N$6,2,FALSE)))</f>
        <v/>
      </c>
      <c r="O30" s="368" t="str">
        <f>IF(M30="","",IF(VLOOKUP(M30,'G-3 Multipliers'!$L$3:$N$6,3,FALSE)=0,"Spatial Data Missing ▲",VLOOKUP(M30,'G-3 Multipliers'!$L$3:$N$6,3,FALSE)))</f>
        <v/>
      </c>
      <c r="P30" s="369" t="str">
        <f>IFERROR(VLOOKUP(G30,'G-1 All Habitats'!$B$2:$M$134,12,FALSE),"")</f>
        <v/>
      </c>
      <c r="Q30" s="376" t="str">
        <f>IFERROR(IF(P30="","",IF(AND(P30='G-1 All Habitats'!$X$3,T30&gt;0),U30+V30,IF(AND(P30='G-1 All Habitats'!$X$3,S30&gt;0),U30+V30,IF(AND(P30='G-1 All Habitats'!$X$3,AC30&gt;0),"Any Loss Unacceptable ⚠",IF(AND(P30='G-1 All Habitats'!$X$3,W30&gt;0),"Any Loss Unacceptable ⚠",H30*J30*L30*O30))))),"Check Data ▲")</f>
        <v/>
      </c>
      <c r="R30" s="38"/>
      <c r="S30" s="54"/>
      <c r="T30" s="55"/>
      <c r="U30" s="374" t="str">
        <f t="shared" si="3"/>
        <v/>
      </c>
      <c r="V30" s="374" t="str">
        <f t="shared" si="4"/>
        <v/>
      </c>
      <c r="W30" s="374" t="str">
        <f>IF(E30="","",IF(H30&lt;S30+T30,"Error in Areas ▲",IF(P30&lt;&gt;'G-1 All Habitats'!$X$3,H30-S30-T30,IF(AND(P30='G-1 All Habitats'!$X$3,Y30="Yes"),"Unacceptable Loss ⚠",IF(AND(P30='G-1 All Habitats'!$X$3,Y30="No"),AC30,IF(AND(P30='G-1 All Habitats'!$X$3,Y30=""),AC30,IF(AND(P30='G-1 All Habitats'!$X$3,AC30="None",AC30),IF(AND(P30='G-1 All Habitats'!$X$3,AC30&gt;0),H30-S30-T30))))))))</f>
        <v/>
      </c>
      <c r="X30" s="378" t="str">
        <f>IFERROR(IF(H30="","",IF(H30-S30-T30=0&lt;0,"Error in Areas ▲",IF(S30+T30&gt;H30,"Error in Areas ▲",IF(AND(P30='G-1 All Habitats'!$X$3,Y30="Yes"),"Alternative Compensation ✓",IF(W30=0,0,IF(P30='G-1 All Habitats'!$X$3,"Any Loss Unacceptable ▲",Q30-U30-V30)))))),"Check Data ▲")</f>
        <v/>
      </c>
      <c r="Y30" s="55"/>
      <c r="Z30" s="62"/>
      <c r="AA30" s="526"/>
      <c r="AB30" s="120"/>
      <c r="AC30" s="726" t="str">
        <f>IF(P30="","",IF(P30='G-1 All Habitats'!$X$3,H30-S30-T30,"None"))</f>
        <v/>
      </c>
      <c r="AD30" s="727" t="str">
        <f>IF(P30="","", IF(P30='G-1 All Habitats'!$X$3, AC30*J30*L30*O30,"None"))</f>
        <v/>
      </c>
      <c r="AF30" s="40" t="str">
        <f t="shared" si="0"/>
        <v/>
      </c>
      <c r="AG30" s="40" t="str">
        <f t="shared" si="1"/>
        <v/>
      </c>
      <c r="AH30" s="40" t="str">
        <f>IF(I30="","",IF(#REF!&gt;0,TRUE,FALSE))</f>
        <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x14ac:dyDescent="0.25">
      <c r="A31" s="35" t="str">
        <f>IFERROR(INDEX('G-1 All Habitats'!$AG$3:$AG$17,MATCH(E31,'G-1 All Habitats'!$AF$3:$AF$17,0)),"")</f>
        <v/>
      </c>
      <c r="B31" s="35" t="str">
        <f>IFERROR(INDEX('G-8 Condition Look up'!$I$4:$I$135,MATCH(G31,'G-8 Condition Look up'!$A$4:$A$135,0)),"")</f>
        <v/>
      </c>
      <c r="D31" s="287">
        <v>21</v>
      </c>
      <c r="E31" s="267"/>
      <c r="F31" s="61"/>
      <c r="G31" s="52" t="str">
        <f>IFERROR(INDEX('G-1 All Habitats'!$B$3:$B$134,MATCH(F31,'G-1 All Habitats'!$A$3:$A$134,0)),"")</f>
        <v/>
      </c>
      <c r="H31" s="53"/>
      <c r="I31" s="362" t="str">
        <f>IF(G31="","",VLOOKUP(G31,'G-1 All Habitats'!$B$2:$M$134,10,FALSE))</f>
        <v/>
      </c>
      <c r="J31" s="363" t="str">
        <f>IFERROR(VLOOKUP(I31,'G-1 All Habitats'!$V$3:$W$7,2,FALSE),"")</f>
        <v/>
      </c>
      <c r="K31" s="54"/>
      <c r="L31" s="363" t="str">
        <f>IFERROR(INDEX('G-8 Condition Look up'!$A$3:$H$135,MATCH(G31,'G-8 Condition Look up'!$A$3:$A$135,0),MATCH(K31,'G-8 Condition Look up'!$A$3:$H$3,0)),"")</f>
        <v/>
      </c>
      <c r="M31" s="54"/>
      <c r="N31" s="382" t="str">
        <f>IF(M31="","",IF(VLOOKUP(M31,'G-3 Multipliers'!$L$3:$N$6,2,FALSE)=0,"Spatial Data Missing",VLOOKUP(M31,'G-3 Multipliers'!$L$3:$N$6,2,FALSE)))</f>
        <v/>
      </c>
      <c r="O31" s="368" t="str">
        <f>IF(M31="","",IF(VLOOKUP(M31,'G-3 Multipliers'!$L$3:$N$6,3,FALSE)=0,"Spatial Data Missing ▲",VLOOKUP(M31,'G-3 Multipliers'!$L$3:$N$6,3,FALSE)))</f>
        <v/>
      </c>
      <c r="P31" s="369" t="str">
        <f>IFERROR(VLOOKUP(G31,'G-1 All Habitats'!$B$2:$M$134,12,FALSE),"")</f>
        <v/>
      </c>
      <c r="Q31" s="376" t="str">
        <f>IFERROR(IF(P31="","",IF(AND(P31='G-1 All Habitats'!$X$3,T31&gt;0),U31+V31,IF(AND(P31='G-1 All Habitats'!$X$3,S31&gt;0),U31+V31,IF(AND(P31='G-1 All Habitats'!$X$3,AC31&gt;0),"Any Loss Unacceptable ⚠",IF(AND(P31='G-1 All Habitats'!$X$3,W31&gt;0),"Any Loss Unacceptable ⚠",H31*J31*L31*O31))))),"Check Data ▲")</f>
        <v/>
      </c>
      <c r="R31" s="38"/>
      <c r="S31" s="54"/>
      <c r="T31" s="55"/>
      <c r="U31" s="374" t="str">
        <f t="shared" si="3"/>
        <v/>
      </c>
      <c r="V31" s="374" t="str">
        <f t="shared" si="4"/>
        <v/>
      </c>
      <c r="W31" s="374" t="str">
        <f>IF(E31="","",IF(H31&lt;S31+T31,"Error in Areas ▲",IF(P31&lt;&gt;'G-1 All Habitats'!$X$3,H31-S31-T31,IF(AND(P31='G-1 All Habitats'!$X$3,Y31="Yes"),"Unacceptable Loss ⚠",IF(AND(P31='G-1 All Habitats'!$X$3,Y31="No"),AC31,IF(AND(P31='G-1 All Habitats'!$X$3,Y31=""),AC31,IF(AND(P31='G-1 All Habitats'!$X$3,AC31="None",AC31),IF(AND(P31='G-1 All Habitats'!$X$3,AC31&gt;0),H31-S31-T31))))))))</f>
        <v/>
      </c>
      <c r="X31" s="378" t="str">
        <f>IFERROR(IF(H31="","",IF(H31-S31-T31=0&lt;0,"Error in Areas ▲",IF(S31+T31&gt;H31,"Error in Areas ▲",IF(AND(P31='G-1 All Habitats'!$X$3,Y31="Yes"),"Alternative Compensation ✓",IF(W31=0,0,IF(P31='G-1 All Habitats'!$X$3,"Any Loss Unacceptable ▲",Q31-U31-V31)))))),"Check Data ▲")</f>
        <v/>
      </c>
      <c r="Y31" s="55"/>
      <c r="Z31" s="62"/>
      <c r="AA31" s="526"/>
      <c r="AB31" s="120"/>
      <c r="AC31" s="726" t="str">
        <f>IF(P31="","",IF(P31='G-1 All Habitats'!$X$3,H31-S31-T31,"None"))</f>
        <v/>
      </c>
      <c r="AD31" s="727" t="str">
        <f>IF(P31="","", IF(P31='G-1 All Habitats'!$X$3, AC31*J31*L31*O31,"None"))</f>
        <v/>
      </c>
      <c r="AF31" s="40" t="str">
        <f t="shared" si="0"/>
        <v/>
      </c>
      <c r="AG31" s="40" t="str">
        <f t="shared" si="1"/>
        <v/>
      </c>
      <c r="AH31" s="40" t="str">
        <f>IF(I31="","",IF(#REF!&gt;0,TRUE,FALSE))</f>
        <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x14ac:dyDescent="0.25">
      <c r="A32" s="35" t="str">
        <f>IFERROR(INDEX('G-1 All Habitats'!$AG$3:$AG$17,MATCH(E32,'G-1 All Habitats'!$AF$3:$AF$17,0)),"")</f>
        <v/>
      </c>
      <c r="B32" s="35" t="str">
        <f>IFERROR(INDEX('G-8 Condition Look up'!$I$4:$I$135,MATCH(G32,'G-8 Condition Look up'!$A$4:$A$135,0)),"")</f>
        <v/>
      </c>
      <c r="D32" s="287">
        <v>22</v>
      </c>
      <c r="E32" s="267"/>
      <c r="F32" s="61"/>
      <c r="G32" s="52" t="str">
        <f>IFERROR(INDEX('G-1 All Habitats'!$B$3:$B$134,MATCH(F32,'G-1 All Habitats'!$A$3:$A$134,0)),"")</f>
        <v/>
      </c>
      <c r="H32" s="53"/>
      <c r="I32" s="362" t="str">
        <f>IF(G32="","",VLOOKUP(G32,'G-1 All Habitats'!$B$2:$M$134,10,FALSE))</f>
        <v/>
      </c>
      <c r="J32" s="363" t="str">
        <f>IFERROR(VLOOKUP(I32,'G-1 All Habitats'!$V$3:$W$7,2,FALSE),"")</f>
        <v/>
      </c>
      <c r="K32" s="54"/>
      <c r="L32" s="363" t="str">
        <f>IFERROR(INDEX('G-8 Condition Look up'!$A$3:$H$135,MATCH(G32,'G-8 Condition Look up'!$A$3:$A$135,0),MATCH(K32,'G-8 Condition Look up'!$A$3:$H$3,0)),"")</f>
        <v/>
      </c>
      <c r="M32" s="54"/>
      <c r="N32" s="382" t="str">
        <f>IF(M32="","",IF(VLOOKUP(M32,'G-3 Multipliers'!$L$3:$N$6,2,FALSE)=0,"Spatial Data Missing",VLOOKUP(M32,'G-3 Multipliers'!$L$3:$N$6,2,FALSE)))</f>
        <v/>
      </c>
      <c r="O32" s="368" t="str">
        <f>IF(M32="","",IF(VLOOKUP(M32,'G-3 Multipliers'!$L$3:$N$6,3,FALSE)=0,"Spatial Data Missing ▲",VLOOKUP(M32,'G-3 Multipliers'!$L$3:$N$6,3,FALSE)))</f>
        <v/>
      </c>
      <c r="P32" s="369" t="str">
        <f>IFERROR(VLOOKUP(G32,'G-1 All Habitats'!$B$2:$M$134,12,FALSE),"")</f>
        <v/>
      </c>
      <c r="Q32" s="376" t="str">
        <f>IFERROR(IF(P32="","",IF(AND(P32='G-1 All Habitats'!$X$3,T32&gt;0),U32+V32,IF(AND(P32='G-1 All Habitats'!$X$3,S32&gt;0),U32+V32,IF(AND(P32='G-1 All Habitats'!$X$3,AC32&gt;0),"Any Loss Unacceptable ⚠",IF(AND(P32='G-1 All Habitats'!$X$3,W32&gt;0),"Any Loss Unacceptable ⚠",H32*J32*L32*O32))))),"Check Data ▲")</f>
        <v/>
      </c>
      <c r="R32" s="38"/>
      <c r="S32" s="54"/>
      <c r="T32" s="55"/>
      <c r="U32" s="374" t="str">
        <f t="shared" si="3"/>
        <v/>
      </c>
      <c r="V32" s="374" t="str">
        <f t="shared" si="4"/>
        <v/>
      </c>
      <c r="W32" s="374" t="str">
        <f>IF(E32="","",IF(H32&lt;S32+T32,"Error in Areas ▲",IF(P32&lt;&gt;'G-1 All Habitats'!$X$3,H32-S32-T32,IF(AND(P32='G-1 All Habitats'!$X$3,Y32="Yes"),"Unacceptable Loss ⚠",IF(AND(P32='G-1 All Habitats'!$X$3,Y32="No"),AC32,IF(AND(P32='G-1 All Habitats'!$X$3,Y32=""),AC32,IF(AND(P32='G-1 All Habitats'!$X$3,AC32="None",AC32),IF(AND(P32='G-1 All Habitats'!$X$3,AC32&gt;0),H32-S32-T32))))))))</f>
        <v/>
      </c>
      <c r="X32" s="378" t="str">
        <f>IFERROR(IF(H32="","",IF(H32-S32-T32=0&lt;0,"Error in Areas ▲",IF(S32+T32&gt;H32,"Error in Areas ▲",IF(AND(P32='G-1 All Habitats'!$X$3,Y32="Yes"),"Alternative Compensation ✓",IF(W32=0,0,IF(P32='G-1 All Habitats'!$X$3,"Any Loss Unacceptable ▲",Q32-U32-V32)))))),"Check Data ▲")</f>
        <v/>
      </c>
      <c r="Y32" s="55"/>
      <c r="Z32" s="62"/>
      <c r="AA32" s="526"/>
      <c r="AB32" s="120"/>
      <c r="AC32" s="726" t="str">
        <f>IF(P32="","",IF(P32='G-1 All Habitats'!$X$3,H32-S32-T32,"None"))</f>
        <v/>
      </c>
      <c r="AD32" s="727" t="str">
        <f>IF(P32="","", IF(P32='G-1 All Habitats'!$X$3, AC32*J32*L32*O32,"None"))</f>
        <v/>
      </c>
      <c r="AF32" s="40" t="str">
        <f t="shared" si="0"/>
        <v/>
      </c>
      <c r="AG32" s="40" t="str">
        <f t="shared" si="1"/>
        <v/>
      </c>
      <c r="AH32" s="40" t="str">
        <f>IF(I32="","",IF(#REF!&gt;0,TRUE,FALSE))</f>
        <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x14ac:dyDescent="0.25">
      <c r="A33" s="35" t="str">
        <f>IFERROR(INDEX('G-1 All Habitats'!$AG$3:$AG$17,MATCH(E33,'G-1 All Habitats'!$AF$3:$AF$17,0)),"")</f>
        <v/>
      </c>
      <c r="B33" s="35" t="str">
        <f>IFERROR(INDEX('G-8 Condition Look up'!$I$4:$I$135,MATCH(G33,'G-8 Condition Look up'!$A$4:$A$135,0)),"")</f>
        <v/>
      </c>
      <c r="D33" s="287">
        <v>23</v>
      </c>
      <c r="E33" s="267"/>
      <c r="F33" s="61"/>
      <c r="G33" s="52" t="str">
        <f>IFERROR(INDEX('G-1 All Habitats'!$B$3:$B$134,MATCH(F33,'G-1 All Habitats'!$A$3:$A$134,0)),"")</f>
        <v/>
      </c>
      <c r="H33" s="53"/>
      <c r="I33" s="362" t="str">
        <f>IF(G33="","",VLOOKUP(G33,'G-1 All Habitats'!$B$2:$M$134,10,FALSE))</f>
        <v/>
      </c>
      <c r="J33" s="363" t="str">
        <f>IFERROR(VLOOKUP(I33,'G-1 All Habitats'!$V$3:$W$7,2,FALSE),"")</f>
        <v/>
      </c>
      <c r="K33" s="54"/>
      <c r="L33" s="363" t="str">
        <f>IFERROR(INDEX('G-8 Condition Look up'!$A$3:$H$135,MATCH(G33,'G-8 Condition Look up'!$A$3:$A$135,0),MATCH(K33,'G-8 Condition Look up'!$A$3:$H$3,0)),"")</f>
        <v/>
      </c>
      <c r="M33" s="54"/>
      <c r="N33" s="382" t="str">
        <f>IF(M33="","",IF(VLOOKUP(M33,'G-3 Multipliers'!$L$3:$N$6,2,FALSE)=0,"Spatial Data Missing",VLOOKUP(M33,'G-3 Multipliers'!$L$3:$N$6,2,FALSE)))</f>
        <v/>
      </c>
      <c r="O33" s="368" t="str">
        <f>IF(M33="","",IF(VLOOKUP(M33,'G-3 Multipliers'!$L$3:$N$6,3,FALSE)=0,"Spatial Data Missing ▲",VLOOKUP(M33,'G-3 Multipliers'!$L$3:$N$6,3,FALSE)))</f>
        <v/>
      </c>
      <c r="P33" s="369" t="str">
        <f>IFERROR(VLOOKUP(G33,'G-1 All Habitats'!$B$2:$M$134,12,FALSE),"")</f>
        <v/>
      </c>
      <c r="Q33" s="376" t="str">
        <f>IFERROR(IF(P33="","",IF(AND(P33='G-1 All Habitats'!$X$3,T33&gt;0),U33+V33,IF(AND(P33='G-1 All Habitats'!$X$3,S33&gt;0),U33+V33,IF(AND(P33='G-1 All Habitats'!$X$3,AC33&gt;0),"Any Loss Unacceptable ⚠",IF(AND(P33='G-1 All Habitats'!$X$3,W33&gt;0),"Any Loss Unacceptable ⚠",H33*J33*L33*O33))))),"Check Data ▲")</f>
        <v/>
      </c>
      <c r="R33" s="38"/>
      <c r="S33" s="54"/>
      <c r="T33" s="55"/>
      <c r="U33" s="374" t="str">
        <f t="shared" si="3"/>
        <v/>
      </c>
      <c r="V33" s="374" t="str">
        <f t="shared" si="4"/>
        <v/>
      </c>
      <c r="W33" s="374" t="str">
        <f>IF(E33="","",IF(H33&lt;S33+T33,"Error in Areas ▲",IF(P33&lt;&gt;'G-1 All Habitats'!$X$3,H33-S33-T33,IF(AND(P33='G-1 All Habitats'!$X$3,Y33="Yes"),"Unacceptable Loss ⚠",IF(AND(P33='G-1 All Habitats'!$X$3,Y33="No"),AC33,IF(AND(P33='G-1 All Habitats'!$X$3,Y33=""),AC33,IF(AND(P33='G-1 All Habitats'!$X$3,AC33="None",AC33),IF(AND(P33='G-1 All Habitats'!$X$3,AC33&gt;0),H33-S33-T33))))))))</f>
        <v/>
      </c>
      <c r="X33" s="378" t="str">
        <f>IFERROR(IF(H33="","",IF(H33-S33-T33=0&lt;0,"Error in Areas ▲",IF(S33+T33&gt;H33,"Error in Areas ▲",IF(AND(P33='G-1 All Habitats'!$X$3,Y33="Yes"),"Alternative Compensation ✓",IF(W33=0,0,IF(P33='G-1 All Habitats'!$X$3,"Any Loss Unacceptable ▲",Q33-U33-V33)))))),"Check Data ▲")</f>
        <v/>
      </c>
      <c r="Y33" s="55"/>
      <c r="Z33" s="62"/>
      <c r="AA33" s="526"/>
      <c r="AB33" s="120"/>
      <c r="AC33" s="726" t="str">
        <f>IF(P33="","",IF(P33='G-1 All Habitats'!$X$3,H33-S33-T33,"None"))</f>
        <v/>
      </c>
      <c r="AD33" s="727" t="str">
        <f>IF(P33="","", IF(P33='G-1 All Habitats'!$X$3, AC33*J33*L33*O33,"None"))</f>
        <v/>
      </c>
      <c r="AF33" s="40" t="str">
        <f t="shared" si="0"/>
        <v/>
      </c>
      <c r="AG33" s="40" t="str">
        <f t="shared" si="1"/>
        <v/>
      </c>
      <c r="AH33" s="40" t="str">
        <f>IF(I33="","",IF(#REF!&gt;0,TRUE,FALSE))</f>
        <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x14ac:dyDescent="0.25">
      <c r="A34" s="35" t="str">
        <f>IFERROR(INDEX('G-1 All Habitats'!$AG$3:$AG$17,MATCH(E34,'G-1 All Habitats'!$AF$3:$AF$17,0)),"")</f>
        <v/>
      </c>
      <c r="B34" s="35" t="str">
        <f>IFERROR(INDEX('G-8 Condition Look up'!$I$4:$I$135,MATCH(G34,'G-8 Condition Look up'!$A$4:$A$135,0)),"")</f>
        <v/>
      </c>
      <c r="D34" s="287">
        <v>24</v>
      </c>
      <c r="E34" s="267"/>
      <c r="F34" s="61"/>
      <c r="G34" s="52" t="str">
        <f>IFERROR(INDEX('G-1 All Habitats'!$B$3:$B$134,MATCH(F34,'G-1 All Habitats'!$A$3:$A$134,0)),"")</f>
        <v/>
      </c>
      <c r="H34" s="53"/>
      <c r="I34" s="362" t="str">
        <f>IF(G34="","",VLOOKUP(G34,'G-1 All Habitats'!$B$2:$M$134,10,FALSE))</f>
        <v/>
      </c>
      <c r="J34" s="363" t="str">
        <f>IFERROR(VLOOKUP(I34,'G-1 All Habitats'!$V$3:$W$7,2,FALSE),"")</f>
        <v/>
      </c>
      <c r="K34" s="54"/>
      <c r="L34" s="363" t="str">
        <f>IFERROR(INDEX('G-8 Condition Look up'!$A$3:$H$135,MATCH(G34,'G-8 Condition Look up'!$A$3:$A$135,0),MATCH(K34,'G-8 Condition Look up'!$A$3:$H$3,0)),"")</f>
        <v/>
      </c>
      <c r="M34" s="54"/>
      <c r="N34" s="382" t="str">
        <f>IF(M34="","",IF(VLOOKUP(M34,'G-3 Multipliers'!$L$3:$N$6,2,FALSE)=0,"Spatial Data Missing",VLOOKUP(M34,'G-3 Multipliers'!$L$3:$N$6,2,FALSE)))</f>
        <v/>
      </c>
      <c r="O34" s="368" t="str">
        <f>IF(M34="","",IF(VLOOKUP(M34,'G-3 Multipliers'!$L$3:$N$6,3,FALSE)=0,"Spatial Data Missing ▲",VLOOKUP(M34,'G-3 Multipliers'!$L$3:$N$6,3,FALSE)))</f>
        <v/>
      </c>
      <c r="P34" s="369" t="str">
        <f>IFERROR(VLOOKUP(G34,'G-1 All Habitats'!$B$2:$M$134,12,FALSE),"")</f>
        <v/>
      </c>
      <c r="Q34" s="376" t="str">
        <f>IFERROR(IF(P34="","",IF(AND(P34='G-1 All Habitats'!$X$3,T34&gt;0),U34+V34,IF(AND(P34='G-1 All Habitats'!$X$3,S34&gt;0),U34+V34,IF(AND(P34='G-1 All Habitats'!$X$3,AC34&gt;0),"Any Loss Unacceptable ⚠",IF(AND(P34='G-1 All Habitats'!$X$3,W34&gt;0),"Any Loss Unacceptable ⚠",H34*J34*L34*O34))))),"Check Data ▲")</f>
        <v/>
      </c>
      <c r="R34" s="38"/>
      <c r="S34" s="54"/>
      <c r="T34" s="55"/>
      <c r="U34" s="374" t="str">
        <f t="shared" si="3"/>
        <v/>
      </c>
      <c r="V34" s="374" t="str">
        <f t="shared" si="4"/>
        <v/>
      </c>
      <c r="W34" s="374" t="str">
        <f>IF(E34="","",IF(H34&lt;S34+T34,"Error in Areas ▲",IF(P34&lt;&gt;'G-1 All Habitats'!$X$3,H34-S34-T34,IF(AND(P34='G-1 All Habitats'!$X$3,Y34="Yes"),"Unacceptable Loss ⚠",IF(AND(P34='G-1 All Habitats'!$X$3,Y34="No"),AC34,IF(AND(P34='G-1 All Habitats'!$X$3,Y34=""),AC34,IF(AND(P34='G-1 All Habitats'!$X$3,AC34="None",AC34),IF(AND(P34='G-1 All Habitats'!$X$3,AC34&gt;0),H34-S34-T34))))))))</f>
        <v/>
      </c>
      <c r="X34" s="378" t="str">
        <f>IFERROR(IF(H34="","",IF(H34-S34-T34=0&lt;0,"Error in Areas ▲",IF(S34+T34&gt;H34,"Error in Areas ▲",IF(AND(P34='G-1 All Habitats'!$X$3,Y34="Yes"),"Alternative Compensation ✓",IF(W34=0,0,IF(P34='G-1 All Habitats'!$X$3,"Any Loss Unacceptable ▲",Q34-U34-V34)))))),"Check Data ▲")</f>
        <v/>
      </c>
      <c r="Y34" s="55"/>
      <c r="Z34" s="62"/>
      <c r="AA34" s="526"/>
      <c r="AB34" s="120"/>
      <c r="AC34" s="726" t="str">
        <f>IF(P34="","",IF(P34='G-1 All Habitats'!$X$3,H34-S34-T34,"None"))</f>
        <v/>
      </c>
      <c r="AD34" s="727" t="str">
        <f>IF(P34="","", IF(P34='G-1 All Habitats'!$X$3, AC34*J34*L34*O34,"None"))</f>
        <v/>
      </c>
      <c r="AF34" s="40" t="str">
        <f t="shared" si="0"/>
        <v/>
      </c>
      <c r="AG34" s="40" t="str">
        <f t="shared" si="1"/>
        <v/>
      </c>
      <c r="AH34" s="40" t="str">
        <f>IF(I34="","",IF(#REF!&gt;0,TRUE,FALSE))</f>
        <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x14ac:dyDescent="0.25">
      <c r="A35" s="35" t="str">
        <f>IFERROR(INDEX('G-1 All Habitats'!$AG$3:$AG$17,MATCH(E35,'G-1 All Habitats'!$AF$3:$AF$17,0)),"")</f>
        <v/>
      </c>
      <c r="B35" s="35" t="str">
        <f>IFERROR(INDEX('G-8 Condition Look up'!$I$4:$I$135,MATCH(G35,'G-8 Condition Look up'!$A$4:$A$135,0)),"")</f>
        <v/>
      </c>
      <c r="D35" s="287">
        <v>25</v>
      </c>
      <c r="E35" s="267"/>
      <c r="F35" s="61"/>
      <c r="G35" s="52" t="str">
        <f>IFERROR(INDEX('G-1 All Habitats'!$B$3:$B$134,MATCH(F35,'G-1 All Habitats'!$A$3:$A$134,0)),"")</f>
        <v/>
      </c>
      <c r="H35" s="53"/>
      <c r="I35" s="362" t="str">
        <f>IF(G35="","",VLOOKUP(G35,'G-1 All Habitats'!$B$2:$M$134,10,FALSE))</f>
        <v/>
      </c>
      <c r="J35" s="363" t="str">
        <f>IFERROR(VLOOKUP(I35,'G-1 All Habitats'!$V$3:$W$7,2,FALSE),"")</f>
        <v/>
      </c>
      <c r="K35" s="54"/>
      <c r="L35" s="363" t="str">
        <f>IFERROR(INDEX('G-8 Condition Look up'!$A$3:$H$135,MATCH(G35,'G-8 Condition Look up'!$A$3:$A$135,0),MATCH(K35,'G-8 Condition Look up'!$A$3:$H$3,0)),"")</f>
        <v/>
      </c>
      <c r="M35" s="54"/>
      <c r="N35" s="382" t="str">
        <f>IF(M35="","",IF(VLOOKUP(M35,'G-3 Multipliers'!$L$3:$N$6,2,FALSE)=0,"Spatial Data Missing",VLOOKUP(M35,'G-3 Multipliers'!$L$3:$N$6,2,FALSE)))</f>
        <v/>
      </c>
      <c r="O35" s="368" t="str">
        <f>IF(M35="","",IF(VLOOKUP(M35,'G-3 Multipliers'!$L$3:$N$6,3,FALSE)=0,"Spatial Data Missing ▲",VLOOKUP(M35,'G-3 Multipliers'!$L$3:$N$6,3,FALSE)))</f>
        <v/>
      </c>
      <c r="P35" s="369" t="str">
        <f>IFERROR(VLOOKUP(G35,'G-1 All Habitats'!$B$2:$M$134,12,FALSE),"")</f>
        <v/>
      </c>
      <c r="Q35" s="376" t="str">
        <f>IFERROR(IF(P35="","",IF(AND(P35='G-1 All Habitats'!$X$3,T35&gt;0),U35+V35,IF(AND(P35='G-1 All Habitats'!$X$3,S35&gt;0),U35+V35,IF(AND(P35='G-1 All Habitats'!$X$3,AC35&gt;0),"Any Loss Unacceptable ⚠",IF(AND(P35='G-1 All Habitats'!$X$3,W35&gt;0),"Any Loss Unacceptable ⚠",H35*J35*L35*O35))))),"Check Data ▲")</f>
        <v/>
      </c>
      <c r="R35" s="38"/>
      <c r="S35" s="54"/>
      <c r="T35" s="55"/>
      <c r="U35" s="374" t="str">
        <f t="shared" si="3"/>
        <v/>
      </c>
      <c r="V35" s="374" t="str">
        <f t="shared" si="4"/>
        <v/>
      </c>
      <c r="W35" s="374" t="str">
        <f>IF(E35="","",IF(H35&lt;S35+T35,"Error in Areas ▲",IF(P35&lt;&gt;'G-1 All Habitats'!$X$3,H35-S35-T35,IF(AND(P35='G-1 All Habitats'!$X$3,Y35="Yes"),"Unacceptable Loss ⚠",IF(AND(P35='G-1 All Habitats'!$X$3,Y35="No"),AC35,IF(AND(P35='G-1 All Habitats'!$X$3,Y35=""),AC35,IF(AND(P35='G-1 All Habitats'!$X$3,AC35="None",AC35),IF(AND(P35='G-1 All Habitats'!$X$3,AC35&gt;0),H35-S35-T35))))))))</f>
        <v/>
      </c>
      <c r="X35" s="378" t="str">
        <f>IFERROR(IF(H35="","",IF(H35-S35-T35=0&lt;0,"Error in Areas ▲",IF(S35+T35&gt;H35,"Error in Areas ▲",IF(AND(P35='G-1 All Habitats'!$X$3,Y35="Yes"),"Alternative Compensation ✓",IF(W35=0,0,IF(P35='G-1 All Habitats'!$X$3,"Any Loss Unacceptable ▲",Q35-U35-V35)))))),"Check Data ▲")</f>
        <v/>
      </c>
      <c r="Y35" s="55"/>
      <c r="Z35" s="62"/>
      <c r="AA35" s="526"/>
      <c r="AB35" s="120"/>
      <c r="AC35" s="726" t="str">
        <f>IF(P35="","",IF(P35='G-1 All Habitats'!$X$3,H35-S35-T35,"None"))</f>
        <v/>
      </c>
      <c r="AD35" s="727" t="str">
        <f>IF(P35="","", IF(P35='G-1 All Habitats'!$X$3, AC35*J35*L35*O35,"None"))</f>
        <v/>
      </c>
      <c r="AF35" s="40" t="str">
        <f t="shared" si="0"/>
        <v/>
      </c>
      <c r="AG35" s="40" t="str">
        <f t="shared" si="1"/>
        <v/>
      </c>
      <c r="AH35" s="40" t="str">
        <f>IF(I35="","",IF(#REF!&gt;0,TRUE,FALSE))</f>
        <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x14ac:dyDescent="0.25">
      <c r="A36" s="35" t="str">
        <f>IFERROR(INDEX('G-1 All Habitats'!$AG$3:$AG$17,MATCH(E36,'G-1 All Habitats'!$AF$3:$AF$17,0)),"")</f>
        <v/>
      </c>
      <c r="B36" s="35" t="str">
        <f>IFERROR(INDEX('G-8 Condition Look up'!$I$4:$I$135,MATCH(G36,'G-8 Condition Look up'!$A$4:$A$135,0)),"")</f>
        <v/>
      </c>
      <c r="D36" s="287">
        <v>26</v>
      </c>
      <c r="E36" s="267"/>
      <c r="F36" s="61"/>
      <c r="G36" s="52" t="str">
        <f>IFERROR(INDEX('G-1 All Habitats'!$B$3:$B$134,MATCH(F36,'G-1 All Habitats'!$A$3:$A$134,0)),"")</f>
        <v/>
      </c>
      <c r="H36" s="53"/>
      <c r="I36" s="362" t="str">
        <f>IF(G36="","",VLOOKUP(G36,'G-1 All Habitats'!$B$2:$M$134,10,FALSE))</f>
        <v/>
      </c>
      <c r="J36" s="363" t="str">
        <f>IFERROR(VLOOKUP(I36,'G-1 All Habitats'!$V$3:$W$7,2,FALSE),"")</f>
        <v/>
      </c>
      <c r="K36" s="54"/>
      <c r="L36" s="363" t="str">
        <f>IFERROR(INDEX('G-8 Condition Look up'!$A$3:$H$135,MATCH(G36,'G-8 Condition Look up'!$A$3:$A$135,0),MATCH(K36,'G-8 Condition Look up'!$A$3:$H$3,0)),"")</f>
        <v/>
      </c>
      <c r="M36" s="54"/>
      <c r="N36" s="382" t="str">
        <f>IF(M36="","",IF(VLOOKUP(M36,'G-3 Multipliers'!$L$3:$N$6,2,FALSE)=0,"Spatial Data Missing",VLOOKUP(M36,'G-3 Multipliers'!$L$3:$N$6,2,FALSE)))</f>
        <v/>
      </c>
      <c r="O36" s="368" t="str">
        <f>IF(M36="","",IF(VLOOKUP(M36,'G-3 Multipliers'!$L$3:$N$6,3,FALSE)=0,"Spatial Data Missing ▲",VLOOKUP(M36,'G-3 Multipliers'!$L$3:$N$6,3,FALSE)))</f>
        <v/>
      </c>
      <c r="P36" s="369" t="str">
        <f>IFERROR(VLOOKUP(G36,'G-1 All Habitats'!$B$2:$M$134,12,FALSE),"")</f>
        <v/>
      </c>
      <c r="Q36" s="376" t="str">
        <f>IFERROR(IF(P36="","",IF(AND(P36='G-1 All Habitats'!$X$3,T36&gt;0),U36+V36,IF(AND(P36='G-1 All Habitats'!$X$3,S36&gt;0),U36+V36,IF(AND(P36='G-1 All Habitats'!$X$3,AC36&gt;0),"Any Loss Unacceptable ⚠",IF(AND(P36='G-1 All Habitats'!$X$3,W36&gt;0),"Any Loss Unacceptable ⚠",H36*J36*L36*O36))))),"Check Data ▲")</f>
        <v/>
      </c>
      <c r="R36" s="38"/>
      <c r="S36" s="54"/>
      <c r="T36" s="55"/>
      <c r="U36" s="374" t="str">
        <f t="shared" si="3"/>
        <v/>
      </c>
      <c r="V36" s="374" t="str">
        <f t="shared" si="4"/>
        <v/>
      </c>
      <c r="W36" s="374" t="str">
        <f>IF(E36="","",IF(H36&lt;S36+T36,"Error in Areas ▲",IF(P36&lt;&gt;'G-1 All Habitats'!$X$3,H36-S36-T36,IF(AND(P36='G-1 All Habitats'!$X$3,Y36="Yes"),"Unacceptable Loss ⚠",IF(AND(P36='G-1 All Habitats'!$X$3,Y36="No"),AC36,IF(AND(P36='G-1 All Habitats'!$X$3,Y36=""),AC36,IF(AND(P36='G-1 All Habitats'!$X$3,AC36="None",AC36),IF(AND(P36='G-1 All Habitats'!$X$3,AC36&gt;0),H36-S36-T36))))))))</f>
        <v/>
      </c>
      <c r="X36" s="378" t="str">
        <f>IFERROR(IF(H36="","",IF(H36-S36-T36=0&lt;0,"Error in Areas ▲",IF(S36+T36&gt;H36,"Error in Areas ▲",IF(AND(P36='G-1 All Habitats'!$X$3,Y36="Yes"),"Alternative Compensation ✓",IF(W36=0,0,IF(P36='G-1 All Habitats'!$X$3,"Any Loss Unacceptable ▲",Q36-U36-V36)))))),"Check Data ▲")</f>
        <v/>
      </c>
      <c r="Y36" s="55"/>
      <c r="Z36" s="62"/>
      <c r="AA36" s="526"/>
      <c r="AB36" s="120"/>
      <c r="AC36" s="726" t="str">
        <f>IF(P36="","",IF(P36='G-1 All Habitats'!$X$3,H36-S36-T36,"None"))</f>
        <v/>
      </c>
      <c r="AD36" s="727" t="str">
        <f>IF(P36="","", IF(P36='G-1 All Habitats'!$X$3, AC36*J36*L36*O36,"None"))</f>
        <v/>
      </c>
      <c r="AF36" s="40" t="str">
        <f t="shared" si="0"/>
        <v/>
      </c>
      <c r="AG36" s="40" t="str">
        <f t="shared" si="1"/>
        <v/>
      </c>
      <c r="AH36" s="40" t="str">
        <f>IF(I36="","",IF(#REF!&gt;0,TRUE,FALSE))</f>
        <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x14ac:dyDescent="0.25">
      <c r="A37" s="35" t="str">
        <f>IFERROR(INDEX('G-1 All Habitats'!$AG$3:$AG$17,MATCH(E37,'G-1 All Habitats'!$AF$3:$AF$17,0)),"")</f>
        <v/>
      </c>
      <c r="B37" s="35" t="str">
        <f>IFERROR(INDEX('G-8 Condition Look up'!$I$4:$I$135,MATCH(G37,'G-8 Condition Look up'!$A$4:$A$135,0)),"")</f>
        <v/>
      </c>
      <c r="D37" s="287">
        <v>27</v>
      </c>
      <c r="E37" s="267"/>
      <c r="F37" s="61"/>
      <c r="G37" s="52" t="str">
        <f>IFERROR(INDEX('G-1 All Habitats'!$B$3:$B$134,MATCH(F37,'G-1 All Habitats'!$A$3:$A$134,0)),"")</f>
        <v/>
      </c>
      <c r="H37" s="53"/>
      <c r="I37" s="362" t="str">
        <f>IF(G37="","",VLOOKUP(G37,'G-1 All Habitats'!$B$2:$M$134,10,FALSE))</f>
        <v/>
      </c>
      <c r="J37" s="363" t="str">
        <f>IFERROR(VLOOKUP(I37,'G-1 All Habitats'!$V$3:$W$7,2,FALSE),"")</f>
        <v/>
      </c>
      <c r="K37" s="54"/>
      <c r="L37" s="363" t="str">
        <f>IFERROR(INDEX('G-8 Condition Look up'!$A$3:$H$135,MATCH(G37,'G-8 Condition Look up'!$A$3:$A$135,0),MATCH(K37,'G-8 Condition Look up'!$A$3:$H$3,0)),"")</f>
        <v/>
      </c>
      <c r="M37" s="54"/>
      <c r="N37" s="382" t="str">
        <f>IF(M37="","",IF(VLOOKUP(M37,'G-3 Multipliers'!$L$3:$N$6,2,FALSE)=0,"Spatial Data Missing",VLOOKUP(M37,'G-3 Multipliers'!$L$3:$N$6,2,FALSE)))</f>
        <v/>
      </c>
      <c r="O37" s="368" t="str">
        <f>IF(M37="","",IF(VLOOKUP(M37,'G-3 Multipliers'!$L$3:$N$6,3,FALSE)=0,"Spatial Data Missing ▲",VLOOKUP(M37,'G-3 Multipliers'!$L$3:$N$6,3,FALSE)))</f>
        <v/>
      </c>
      <c r="P37" s="369" t="str">
        <f>IFERROR(VLOOKUP(G37,'G-1 All Habitats'!$B$2:$M$134,12,FALSE),"")</f>
        <v/>
      </c>
      <c r="Q37" s="376" t="str">
        <f>IFERROR(IF(P37="","",IF(AND(P37='G-1 All Habitats'!$X$3,T37&gt;0),U37+V37,IF(AND(P37='G-1 All Habitats'!$X$3,S37&gt;0),U37+V37,IF(AND(P37='G-1 All Habitats'!$X$3,AC37&gt;0),"Any Loss Unacceptable ⚠",IF(AND(P37='G-1 All Habitats'!$X$3,W37&gt;0),"Any Loss Unacceptable ⚠",H37*J37*L37*O37))))),"Check Data ▲")</f>
        <v/>
      </c>
      <c r="R37" s="38"/>
      <c r="S37" s="54"/>
      <c r="T37" s="55"/>
      <c r="U37" s="374" t="str">
        <f t="shared" si="3"/>
        <v/>
      </c>
      <c r="V37" s="374" t="str">
        <f t="shared" si="4"/>
        <v/>
      </c>
      <c r="W37" s="374" t="str">
        <f>IF(E37="","",IF(H37&lt;S37+T37,"Error in Areas ▲",IF(P37&lt;&gt;'G-1 All Habitats'!$X$3,H37-S37-T37,IF(AND(P37='G-1 All Habitats'!$X$3,Y37="Yes"),"Unacceptable Loss ⚠",IF(AND(P37='G-1 All Habitats'!$X$3,Y37="No"),AC37,IF(AND(P37='G-1 All Habitats'!$X$3,Y37=""),AC37,IF(AND(P37='G-1 All Habitats'!$X$3,AC37="None",AC37),IF(AND(P37='G-1 All Habitats'!$X$3,AC37&gt;0),H37-S37-T37))))))))</f>
        <v/>
      </c>
      <c r="X37" s="378" t="str">
        <f>IFERROR(IF(H37="","",IF(H37-S37-T37=0&lt;0,"Error in Areas ▲",IF(S37+T37&gt;H37,"Error in Areas ▲",IF(AND(P37='G-1 All Habitats'!$X$3,Y37="Yes"),"Alternative Compensation ✓",IF(W37=0,0,IF(P37='G-1 All Habitats'!$X$3,"Any Loss Unacceptable ▲",Q37-U37-V37)))))),"Check Data ▲")</f>
        <v/>
      </c>
      <c r="Y37" s="55"/>
      <c r="Z37" s="62"/>
      <c r="AA37" s="526"/>
      <c r="AB37" s="120"/>
      <c r="AC37" s="726" t="str">
        <f>IF(P37="","",IF(P37='G-1 All Habitats'!$X$3,H37-S37-T37,"None"))</f>
        <v/>
      </c>
      <c r="AD37" s="727" t="str">
        <f>IF(P37="","", IF(P37='G-1 All Habitats'!$X$3, AC37*J37*L37*O37,"None"))</f>
        <v/>
      </c>
      <c r="AF37" s="40" t="str">
        <f t="shared" si="0"/>
        <v/>
      </c>
      <c r="AG37" s="40" t="str">
        <f t="shared" si="1"/>
        <v/>
      </c>
      <c r="AH37" s="40" t="str">
        <f>IF(I37="","",IF(#REF!&gt;0,TRUE,FALSE))</f>
        <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x14ac:dyDescent="0.25">
      <c r="A38" s="35" t="str">
        <f>IFERROR(INDEX('G-1 All Habitats'!$AG$3:$AG$17,MATCH(E38,'G-1 All Habitats'!$AF$3:$AF$17,0)),"")</f>
        <v/>
      </c>
      <c r="B38" s="35" t="str">
        <f>IFERROR(INDEX('G-8 Condition Look up'!$I$4:$I$135,MATCH(G38,'G-8 Condition Look up'!$A$4:$A$135,0)),"")</f>
        <v/>
      </c>
      <c r="D38" s="287">
        <v>28</v>
      </c>
      <c r="E38" s="267"/>
      <c r="F38" s="61"/>
      <c r="G38" s="52" t="str">
        <f>IFERROR(INDEX('G-1 All Habitats'!$B$3:$B$134,MATCH(F38,'G-1 All Habitats'!$A$3:$A$134,0)),"")</f>
        <v/>
      </c>
      <c r="H38" s="53"/>
      <c r="I38" s="362" t="str">
        <f>IF(G38="","",VLOOKUP(G38,'G-1 All Habitats'!$B$2:$M$134,10,FALSE))</f>
        <v/>
      </c>
      <c r="J38" s="363" t="str">
        <f>IFERROR(VLOOKUP(I38,'G-1 All Habitats'!$V$3:$W$7,2,FALSE),"")</f>
        <v/>
      </c>
      <c r="K38" s="54"/>
      <c r="L38" s="363" t="str">
        <f>IFERROR(INDEX('G-8 Condition Look up'!$A$3:$H$135,MATCH(G38,'G-8 Condition Look up'!$A$3:$A$135,0),MATCH(K38,'G-8 Condition Look up'!$A$3:$H$3,0)),"")</f>
        <v/>
      </c>
      <c r="M38" s="54"/>
      <c r="N38" s="382" t="str">
        <f>IF(M38="","",IF(VLOOKUP(M38,'G-3 Multipliers'!$L$3:$N$6,2,FALSE)=0,"Spatial Data Missing",VLOOKUP(M38,'G-3 Multipliers'!$L$3:$N$6,2,FALSE)))</f>
        <v/>
      </c>
      <c r="O38" s="368" t="str">
        <f>IF(M38="","",IF(VLOOKUP(M38,'G-3 Multipliers'!$L$3:$N$6,3,FALSE)=0,"Spatial Data Missing ▲",VLOOKUP(M38,'G-3 Multipliers'!$L$3:$N$6,3,FALSE)))</f>
        <v/>
      </c>
      <c r="P38" s="369" t="str">
        <f>IFERROR(VLOOKUP(G38,'G-1 All Habitats'!$B$2:$M$134,12,FALSE),"")</f>
        <v/>
      </c>
      <c r="Q38" s="376" t="str">
        <f>IFERROR(IF(P38="","",IF(AND(P38='G-1 All Habitats'!$X$3,T38&gt;0),U38+V38,IF(AND(P38='G-1 All Habitats'!$X$3,S38&gt;0),U38+V38,IF(AND(P38='G-1 All Habitats'!$X$3,AC38&gt;0),"Any Loss Unacceptable ⚠",IF(AND(P38='G-1 All Habitats'!$X$3,W38&gt;0),"Any Loss Unacceptable ⚠",H38*J38*L38*O38))))),"Check Data ▲")</f>
        <v/>
      </c>
      <c r="R38" s="38"/>
      <c r="S38" s="54"/>
      <c r="T38" s="55"/>
      <c r="U38" s="374" t="str">
        <f t="shared" si="3"/>
        <v/>
      </c>
      <c r="V38" s="374" t="str">
        <f t="shared" si="4"/>
        <v/>
      </c>
      <c r="W38" s="374" t="str">
        <f>IF(E38="","",IF(H38&lt;S38+T38,"Error in Areas ▲",IF(P38&lt;&gt;'G-1 All Habitats'!$X$3,H38-S38-T38,IF(AND(P38='G-1 All Habitats'!$X$3,Y38="Yes"),"Unacceptable Loss ⚠",IF(AND(P38='G-1 All Habitats'!$X$3,Y38="No"),AC38,IF(AND(P38='G-1 All Habitats'!$X$3,Y38=""),AC38,IF(AND(P38='G-1 All Habitats'!$X$3,AC38="None",AC38),IF(AND(P38='G-1 All Habitats'!$X$3,AC38&gt;0),H38-S38-T38))))))))</f>
        <v/>
      </c>
      <c r="X38" s="378" t="str">
        <f>IFERROR(IF(H38="","",IF(H38-S38-T38=0&lt;0,"Error in Areas ▲",IF(S38+T38&gt;H38,"Error in Areas ▲",IF(AND(P38='G-1 All Habitats'!$X$3,Y38="Yes"),"Alternative Compensation ✓",IF(W38=0,0,IF(P38='G-1 All Habitats'!$X$3,"Any Loss Unacceptable ▲",Q38-U38-V38)))))),"Check Data ▲")</f>
        <v/>
      </c>
      <c r="Y38" s="55"/>
      <c r="Z38" s="62"/>
      <c r="AA38" s="526"/>
      <c r="AB38" s="120"/>
      <c r="AC38" s="726" t="str">
        <f>IF(P38="","",IF(P38='G-1 All Habitats'!$X$3,H38-S38-T38,"None"))</f>
        <v/>
      </c>
      <c r="AD38" s="727" t="str">
        <f>IF(P38="","", IF(P38='G-1 All Habitats'!$X$3, AC38*J38*L38*O38,"None"))</f>
        <v/>
      </c>
      <c r="AF38" s="40" t="str">
        <f t="shared" si="0"/>
        <v/>
      </c>
      <c r="AG38" s="40" t="str">
        <f t="shared" si="1"/>
        <v/>
      </c>
      <c r="AH38" s="40" t="str">
        <f>IF(I38="","",IF(#REF!&gt;0,TRUE,FALSE))</f>
        <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x14ac:dyDescent="0.25">
      <c r="A39" s="35" t="str">
        <f>IFERROR(INDEX('G-1 All Habitats'!$AG$3:$AG$17,MATCH(E39,'G-1 All Habitats'!$AF$3:$AF$17,0)),"")</f>
        <v/>
      </c>
      <c r="B39" s="35" t="str">
        <f>IFERROR(INDEX('G-8 Condition Look up'!$I$4:$I$135,MATCH(G39,'G-8 Condition Look up'!$A$4:$A$135,0)),"")</f>
        <v/>
      </c>
      <c r="D39" s="287">
        <v>29</v>
      </c>
      <c r="E39" s="267"/>
      <c r="F39" s="61"/>
      <c r="G39" s="52" t="str">
        <f>IFERROR(INDEX('G-1 All Habitats'!$B$3:$B$134,MATCH(F39,'G-1 All Habitats'!$A$3:$A$134,0)),"")</f>
        <v/>
      </c>
      <c r="H39" s="53"/>
      <c r="I39" s="362" t="str">
        <f>IF(G39="","",VLOOKUP(G39,'G-1 All Habitats'!$B$2:$M$134,10,FALSE))</f>
        <v/>
      </c>
      <c r="J39" s="363" t="str">
        <f>IFERROR(VLOOKUP(I39,'G-1 All Habitats'!$V$3:$W$7,2,FALSE),"")</f>
        <v/>
      </c>
      <c r="K39" s="54"/>
      <c r="L39" s="363" t="str">
        <f>IFERROR(INDEX('G-8 Condition Look up'!$A$3:$H$135,MATCH(G39,'G-8 Condition Look up'!$A$3:$A$135,0),MATCH(K39,'G-8 Condition Look up'!$A$3:$H$3,0)),"")</f>
        <v/>
      </c>
      <c r="M39" s="54"/>
      <c r="N39" s="382" t="str">
        <f>IF(M39="","",IF(VLOOKUP(M39,'G-3 Multipliers'!$L$3:$N$6,2,FALSE)=0,"Spatial Data Missing",VLOOKUP(M39,'G-3 Multipliers'!$L$3:$N$6,2,FALSE)))</f>
        <v/>
      </c>
      <c r="O39" s="368" t="str">
        <f>IF(M39="","",IF(VLOOKUP(M39,'G-3 Multipliers'!$L$3:$N$6,3,FALSE)=0,"Spatial Data Missing ▲",VLOOKUP(M39,'G-3 Multipliers'!$L$3:$N$6,3,FALSE)))</f>
        <v/>
      </c>
      <c r="P39" s="369" t="str">
        <f>IFERROR(VLOOKUP(G39,'G-1 All Habitats'!$B$2:$M$134,12,FALSE),"")</f>
        <v/>
      </c>
      <c r="Q39" s="376" t="str">
        <f>IFERROR(IF(P39="","",IF(AND(P39='G-1 All Habitats'!$X$3,T39&gt;0),U39+V39,IF(AND(P39='G-1 All Habitats'!$X$3,S39&gt;0),U39+V39,IF(AND(P39='G-1 All Habitats'!$X$3,AC39&gt;0),"Any Loss Unacceptable ⚠",IF(AND(P39='G-1 All Habitats'!$X$3,W39&gt;0),"Any Loss Unacceptable ⚠",H39*J39*L39*O39))))),"Check Data ▲")</f>
        <v/>
      </c>
      <c r="R39" s="38"/>
      <c r="S39" s="54"/>
      <c r="T39" s="55"/>
      <c r="U39" s="374" t="str">
        <f t="shared" si="3"/>
        <v/>
      </c>
      <c r="V39" s="374" t="str">
        <f t="shared" si="4"/>
        <v/>
      </c>
      <c r="W39" s="374" t="str">
        <f>IF(E39="","",IF(H39&lt;S39+T39,"Error in Areas ▲",IF(P39&lt;&gt;'G-1 All Habitats'!$X$3,H39-S39-T39,IF(AND(P39='G-1 All Habitats'!$X$3,Y39="Yes"),"Unacceptable Loss ⚠",IF(AND(P39='G-1 All Habitats'!$X$3,Y39="No"),AC39,IF(AND(P39='G-1 All Habitats'!$X$3,Y39=""),AC39,IF(AND(P39='G-1 All Habitats'!$X$3,AC39="None",AC39),IF(AND(P39='G-1 All Habitats'!$X$3,AC39&gt;0),H39-S39-T39))))))))</f>
        <v/>
      </c>
      <c r="X39" s="378" t="str">
        <f>IFERROR(IF(H39="","",IF(H39-S39-T39=0&lt;0,"Error in Areas ▲",IF(S39+T39&gt;H39,"Error in Areas ▲",IF(AND(P39='G-1 All Habitats'!$X$3,Y39="Yes"),"Alternative Compensation ✓",IF(W39=0,0,IF(P39='G-1 All Habitats'!$X$3,"Any Loss Unacceptable ▲",Q39-U39-V39)))))),"Check Data ▲")</f>
        <v/>
      </c>
      <c r="Y39" s="55"/>
      <c r="Z39" s="62"/>
      <c r="AA39" s="526"/>
      <c r="AB39" s="120"/>
      <c r="AC39" s="726" t="str">
        <f>IF(P39="","",IF(P39='G-1 All Habitats'!$X$3,H39-S39-T39,"None"))</f>
        <v/>
      </c>
      <c r="AD39" s="727" t="str">
        <f>IF(P39="","", IF(P39='G-1 All Habitats'!$X$3, AC39*J39*L39*O39,"None"))</f>
        <v/>
      </c>
      <c r="AF39" s="40" t="str">
        <f t="shared" si="0"/>
        <v/>
      </c>
      <c r="AG39" s="40" t="str">
        <f t="shared" si="1"/>
        <v/>
      </c>
      <c r="AH39" s="40" t="str">
        <f>IF(I39="","",IF(#REF!&gt;0,TRUE,FALSE))</f>
        <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x14ac:dyDescent="0.25">
      <c r="A40" s="35" t="str">
        <f>IFERROR(INDEX('G-1 All Habitats'!$AG$3:$AG$17,MATCH(E40,'G-1 All Habitats'!$AF$3:$AF$17,0)),"")</f>
        <v/>
      </c>
      <c r="B40" s="35" t="str">
        <f>IFERROR(INDEX('G-8 Condition Look up'!$I$4:$I$135,MATCH(G40,'G-8 Condition Look up'!$A$4:$A$135,0)),"")</f>
        <v/>
      </c>
      <c r="D40" s="287">
        <v>30</v>
      </c>
      <c r="E40" s="267"/>
      <c r="F40" s="61"/>
      <c r="G40" s="52" t="str">
        <f>IFERROR(INDEX('G-1 All Habitats'!$B$3:$B$134,MATCH(F40,'G-1 All Habitats'!$A$3:$A$134,0)),"")</f>
        <v/>
      </c>
      <c r="H40" s="53"/>
      <c r="I40" s="362" t="str">
        <f>IF(G40="","",VLOOKUP(G40,'G-1 All Habitats'!$B$2:$M$134,10,FALSE))</f>
        <v/>
      </c>
      <c r="J40" s="363" t="str">
        <f>IFERROR(VLOOKUP(I40,'G-1 All Habitats'!$V$3:$W$7,2,FALSE),"")</f>
        <v/>
      </c>
      <c r="K40" s="54"/>
      <c r="L40" s="363" t="str">
        <f>IFERROR(INDEX('G-8 Condition Look up'!$A$3:$H$135,MATCH(G40,'G-8 Condition Look up'!$A$3:$A$135,0),MATCH(K40,'G-8 Condition Look up'!$A$3:$H$3,0)),"")</f>
        <v/>
      </c>
      <c r="M40" s="54"/>
      <c r="N40" s="382" t="str">
        <f>IF(M40="","",IF(VLOOKUP(M40,'G-3 Multipliers'!$L$3:$N$6,2,FALSE)=0,"Spatial Data Missing",VLOOKUP(M40,'G-3 Multipliers'!$L$3:$N$6,2,FALSE)))</f>
        <v/>
      </c>
      <c r="O40" s="368" t="str">
        <f>IF(M40="","",IF(VLOOKUP(M40,'G-3 Multipliers'!$L$3:$N$6,3,FALSE)=0,"Spatial Data Missing ▲",VLOOKUP(M40,'G-3 Multipliers'!$L$3:$N$6,3,FALSE)))</f>
        <v/>
      </c>
      <c r="P40" s="369" t="str">
        <f>IFERROR(VLOOKUP(G40,'G-1 All Habitats'!$B$2:$M$134,12,FALSE),"")</f>
        <v/>
      </c>
      <c r="Q40" s="376" t="str">
        <f>IFERROR(IF(P40="","",IF(AND(P40='G-1 All Habitats'!$X$3,T40&gt;0),U40+V40,IF(AND(P40='G-1 All Habitats'!$X$3,S40&gt;0),U40+V40,IF(AND(P40='G-1 All Habitats'!$X$3,AC40&gt;0),"Any Loss Unacceptable ⚠",IF(AND(P40='G-1 All Habitats'!$X$3,W40&gt;0),"Any Loss Unacceptable ⚠",H40*J40*L40*O40))))),"Check Data ▲")</f>
        <v/>
      </c>
      <c r="R40" s="38"/>
      <c r="S40" s="54"/>
      <c r="T40" s="55"/>
      <c r="U40" s="374" t="str">
        <f t="shared" si="3"/>
        <v/>
      </c>
      <c r="V40" s="374" t="str">
        <f t="shared" si="4"/>
        <v/>
      </c>
      <c r="W40" s="374" t="str">
        <f>IF(E40="","",IF(H40&lt;S40+T40,"Error in Areas ▲",IF(P40&lt;&gt;'G-1 All Habitats'!$X$3,H40-S40-T40,IF(AND(P40='G-1 All Habitats'!$X$3,Y40="Yes"),"Unacceptable Loss ⚠",IF(AND(P40='G-1 All Habitats'!$X$3,Y40="No"),AC40,IF(AND(P40='G-1 All Habitats'!$X$3,Y40=""),AC40,IF(AND(P40='G-1 All Habitats'!$X$3,AC40="None",AC40),IF(AND(P40='G-1 All Habitats'!$X$3,AC40&gt;0),H40-S40-T40))))))))</f>
        <v/>
      </c>
      <c r="X40" s="378" t="str">
        <f>IFERROR(IF(H40="","",IF(H40-S40-T40=0&lt;0,"Error in Areas ▲",IF(S40+T40&gt;H40,"Error in Areas ▲",IF(AND(P40='G-1 All Habitats'!$X$3,Y40="Yes"),"Alternative Compensation ✓",IF(W40=0,0,IF(P40='G-1 All Habitats'!$X$3,"Any Loss Unacceptable ▲",Q40-U40-V40)))))),"Check Data ▲")</f>
        <v/>
      </c>
      <c r="Y40" s="55"/>
      <c r="Z40" s="62"/>
      <c r="AA40" s="526"/>
      <c r="AB40" s="120"/>
      <c r="AC40" s="726" t="str">
        <f>IF(P40="","",IF(P40='G-1 All Habitats'!$X$3,H40-S40-T40,"None"))</f>
        <v/>
      </c>
      <c r="AD40" s="727" t="str">
        <f>IF(P40="","", IF(P40='G-1 All Habitats'!$X$3, AC40*J40*L40*O40,"None"))</f>
        <v/>
      </c>
      <c r="AF40" s="40" t="str">
        <f t="shared" si="0"/>
        <v/>
      </c>
      <c r="AG40" s="40" t="str">
        <f t="shared" si="1"/>
        <v/>
      </c>
      <c r="AH40" s="40" t="str">
        <f>IF(I40="","",IF(#REF!&gt;0,TRUE,FALSE))</f>
        <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x14ac:dyDescent="0.25">
      <c r="A41" s="35" t="str">
        <f>IFERROR(INDEX('G-1 All Habitats'!$AG$3:$AG$17,MATCH(E41,'G-1 All Habitats'!$AF$3:$AF$17,0)),"")</f>
        <v/>
      </c>
      <c r="B41" s="35" t="str">
        <f>IFERROR(INDEX('G-8 Condition Look up'!$I$4:$I$135,MATCH(G41,'G-8 Condition Look up'!$A$4:$A$135,0)),"")</f>
        <v/>
      </c>
      <c r="D41" s="287">
        <v>31</v>
      </c>
      <c r="E41" s="267"/>
      <c r="F41" s="61"/>
      <c r="G41" s="52" t="str">
        <f>IFERROR(INDEX('G-1 All Habitats'!$B$3:$B$134,MATCH(F41,'G-1 All Habitats'!$A$3:$A$134,0)),"")</f>
        <v/>
      </c>
      <c r="H41" s="53"/>
      <c r="I41" s="362" t="str">
        <f>IF(G41="","",VLOOKUP(G41,'G-1 All Habitats'!$B$2:$M$134,10,FALSE))</f>
        <v/>
      </c>
      <c r="J41" s="363" t="str">
        <f>IFERROR(VLOOKUP(I41,'G-1 All Habitats'!$V$3:$W$7,2,FALSE),"")</f>
        <v/>
      </c>
      <c r="K41" s="54"/>
      <c r="L41" s="363" t="str">
        <f>IFERROR(INDEX('G-8 Condition Look up'!$A$3:$H$135,MATCH(G41,'G-8 Condition Look up'!$A$3:$A$135,0),MATCH(K41,'G-8 Condition Look up'!$A$3:$H$3,0)),"")</f>
        <v/>
      </c>
      <c r="M41" s="54"/>
      <c r="N41" s="382" t="str">
        <f>IF(M41="","",IF(VLOOKUP(M41,'G-3 Multipliers'!$L$3:$N$6,2,FALSE)=0,"Spatial Data Missing",VLOOKUP(M41,'G-3 Multipliers'!$L$3:$N$6,2,FALSE)))</f>
        <v/>
      </c>
      <c r="O41" s="368" t="str">
        <f>IF(M41="","",IF(VLOOKUP(M41,'G-3 Multipliers'!$L$3:$N$6,3,FALSE)=0,"Spatial Data Missing ▲",VLOOKUP(M41,'G-3 Multipliers'!$L$3:$N$6,3,FALSE)))</f>
        <v/>
      </c>
      <c r="P41" s="369" t="str">
        <f>IFERROR(VLOOKUP(G41,'G-1 All Habitats'!$B$2:$M$134,12,FALSE),"")</f>
        <v/>
      </c>
      <c r="Q41" s="376" t="str">
        <f>IFERROR(IF(P41="","",IF(AND(P41='G-1 All Habitats'!$X$3,T41&gt;0),U41+V41,IF(AND(P41='G-1 All Habitats'!$X$3,S41&gt;0),U41+V41,IF(AND(P41='G-1 All Habitats'!$X$3,AC41&gt;0),"Any Loss Unacceptable ⚠",IF(AND(P41='G-1 All Habitats'!$X$3,W41&gt;0),"Any Loss Unacceptable ⚠",H41*J41*L41*O41))))),"Check Data ▲")</f>
        <v/>
      </c>
      <c r="R41" s="38"/>
      <c r="S41" s="54"/>
      <c r="T41" s="55"/>
      <c r="U41" s="374" t="str">
        <f t="shared" si="3"/>
        <v/>
      </c>
      <c r="V41" s="374" t="str">
        <f t="shared" si="4"/>
        <v/>
      </c>
      <c r="W41" s="374" t="str">
        <f>IF(E41="","",IF(H41&lt;S41+T41,"Error in Areas ▲",IF(P41&lt;&gt;'G-1 All Habitats'!$X$3,H41-S41-T41,IF(AND(P41='G-1 All Habitats'!$X$3,Y41="Yes"),"Unacceptable Loss ⚠",IF(AND(P41='G-1 All Habitats'!$X$3,Y41="No"),AC41,IF(AND(P41='G-1 All Habitats'!$X$3,Y41=""),AC41,IF(AND(P41='G-1 All Habitats'!$X$3,AC41="None",AC41),IF(AND(P41='G-1 All Habitats'!$X$3,AC41&gt;0),H41-S41-T41))))))))</f>
        <v/>
      </c>
      <c r="X41" s="378" t="str">
        <f>IFERROR(IF(H41="","",IF(H41-S41-T41=0&lt;0,"Error in Areas ▲",IF(S41+T41&gt;H41,"Error in Areas ▲",IF(AND(P41='G-1 All Habitats'!$X$3,Y41="Yes"),"Alternative Compensation ✓",IF(W41=0,0,IF(P41='G-1 All Habitats'!$X$3,"Any Loss Unacceptable ▲",Q41-U41-V41)))))),"Check Data ▲")</f>
        <v/>
      </c>
      <c r="Y41" s="55"/>
      <c r="Z41" s="62"/>
      <c r="AA41" s="526"/>
      <c r="AB41" s="120"/>
      <c r="AC41" s="726" t="str">
        <f>IF(P41="","",IF(P41='G-1 All Habitats'!$X$3,H41-S41-T41,"None"))</f>
        <v/>
      </c>
      <c r="AD41" s="727" t="str">
        <f>IF(P41="","", IF(P41='G-1 All Habitats'!$X$3, AC41*J41*L41*O41,"None"))</f>
        <v/>
      </c>
      <c r="AF41" s="40" t="str">
        <f t="shared" si="0"/>
        <v/>
      </c>
      <c r="AG41" s="40" t="str">
        <f t="shared" si="1"/>
        <v/>
      </c>
      <c r="AH41" s="40" t="str">
        <f>IF(I41="","",IF(#REF!&gt;0,TRUE,FALSE))</f>
        <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x14ac:dyDescent="0.25">
      <c r="A42" s="35" t="str">
        <f>IFERROR(INDEX('G-1 All Habitats'!$AG$3:$AG$17,MATCH(E42,'G-1 All Habitats'!$AF$3:$AF$17,0)),"")</f>
        <v/>
      </c>
      <c r="B42" s="35" t="str">
        <f>IFERROR(INDEX('G-8 Condition Look up'!$I$4:$I$135,MATCH(G42,'G-8 Condition Look up'!$A$4:$A$135,0)),"")</f>
        <v/>
      </c>
      <c r="D42" s="287">
        <v>32</v>
      </c>
      <c r="E42" s="267"/>
      <c r="F42" s="61"/>
      <c r="G42" s="52" t="str">
        <f>IFERROR(INDEX('G-1 All Habitats'!$B$3:$B$134,MATCH(F42,'G-1 All Habitats'!$A$3:$A$134,0)),"")</f>
        <v/>
      </c>
      <c r="H42" s="53"/>
      <c r="I42" s="362" t="str">
        <f>IF(G42="","",VLOOKUP(G42,'G-1 All Habitats'!$B$2:$M$134,10,FALSE))</f>
        <v/>
      </c>
      <c r="J42" s="363" t="str">
        <f>IFERROR(VLOOKUP(I42,'G-1 All Habitats'!$V$3:$W$7,2,FALSE),"")</f>
        <v/>
      </c>
      <c r="K42" s="54"/>
      <c r="L42" s="363" t="str">
        <f>IFERROR(INDEX('G-8 Condition Look up'!$A$3:$H$135,MATCH(G42,'G-8 Condition Look up'!$A$3:$A$135,0),MATCH(K42,'G-8 Condition Look up'!$A$3:$H$3,0)),"")</f>
        <v/>
      </c>
      <c r="M42" s="54"/>
      <c r="N42" s="382" t="str">
        <f>IF(M42="","",IF(VLOOKUP(M42,'G-3 Multipliers'!$L$3:$N$6,2,FALSE)=0,"Spatial Data Missing",VLOOKUP(M42,'G-3 Multipliers'!$L$3:$N$6,2,FALSE)))</f>
        <v/>
      </c>
      <c r="O42" s="368" t="str">
        <f>IF(M42="","",IF(VLOOKUP(M42,'G-3 Multipliers'!$L$3:$N$6,3,FALSE)=0,"Spatial Data Missing ▲",VLOOKUP(M42,'G-3 Multipliers'!$L$3:$N$6,3,FALSE)))</f>
        <v/>
      </c>
      <c r="P42" s="369" t="str">
        <f>IFERROR(VLOOKUP(G42,'G-1 All Habitats'!$B$2:$M$134,12,FALSE),"")</f>
        <v/>
      </c>
      <c r="Q42" s="376" t="str">
        <f>IFERROR(IF(P42="","",IF(AND(P42='G-1 All Habitats'!$X$3,T42&gt;0),U42+V42,IF(AND(P42='G-1 All Habitats'!$X$3,S42&gt;0),U42+V42,IF(AND(P42='G-1 All Habitats'!$X$3,AC42&gt;0),"Any Loss Unacceptable ⚠",IF(AND(P42='G-1 All Habitats'!$X$3,W42&gt;0),"Any Loss Unacceptable ⚠",H42*J42*L42*O42))))),"Check Data ▲")</f>
        <v/>
      </c>
      <c r="R42" s="38"/>
      <c r="S42" s="54"/>
      <c r="T42" s="55"/>
      <c r="U42" s="374" t="str">
        <f t="shared" si="3"/>
        <v/>
      </c>
      <c r="V42" s="374" t="str">
        <f t="shared" si="4"/>
        <v/>
      </c>
      <c r="W42" s="374" t="str">
        <f>IF(E42="","",IF(H42&lt;S42+T42,"Error in Areas ▲",IF(P42&lt;&gt;'G-1 All Habitats'!$X$3,H42-S42-T42,IF(AND(P42='G-1 All Habitats'!$X$3,Y42="Yes"),"Unacceptable Loss ⚠",IF(AND(P42='G-1 All Habitats'!$X$3,Y42="No"),AC42,IF(AND(P42='G-1 All Habitats'!$X$3,Y42=""),AC42,IF(AND(P42='G-1 All Habitats'!$X$3,AC42="None",AC42),IF(AND(P42='G-1 All Habitats'!$X$3,AC42&gt;0),H42-S42-T42))))))))</f>
        <v/>
      </c>
      <c r="X42" s="378" t="str">
        <f>IFERROR(IF(H42="","",IF(H42-S42-T42=0&lt;0,"Error in Areas ▲",IF(S42+T42&gt;H42,"Error in Areas ▲",IF(AND(P42='G-1 All Habitats'!$X$3,Y42="Yes"),"Alternative Compensation ✓",IF(W42=0,0,IF(P42='G-1 All Habitats'!$X$3,"Any Loss Unacceptable ▲",Q42-U42-V42)))))),"Check Data ▲")</f>
        <v/>
      </c>
      <c r="Y42" s="55"/>
      <c r="Z42" s="62"/>
      <c r="AA42" s="526"/>
      <c r="AB42" s="120"/>
      <c r="AC42" s="726" t="str">
        <f>IF(P42="","",IF(P42='G-1 All Habitats'!$X$3,H42-S42-T42,"None"))</f>
        <v/>
      </c>
      <c r="AD42" s="727" t="str">
        <f>IF(P42="","", IF(P42='G-1 All Habitats'!$X$3, AC42*J42*L42*O42,"None"))</f>
        <v/>
      </c>
      <c r="AF42" s="40" t="str">
        <f t="shared" si="0"/>
        <v/>
      </c>
      <c r="AG42" s="40" t="str">
        <f t="shared" si="1"/>
        <v/>
      </c>
      <c r="AH42" s="40" t="str">
        <f>IF(I42="","",IF(#REF!&gt;0,TRUE,FALSE))</f>
        <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x14ac:dyDescent="0.25">
      <c r="A43" s="35" t="str">
        <f>IFERROR(INDEX('G-1 All Habitats'!$AG$3:$AG$17,MATCH(E43,'G-1 All Habitats'!$AF$3:$AF$17,0)),"")</f>
        <v/>
      </c>
      <c r="B43" s="35" t="str">
        <f>IFERROR(INDEX('G-8 Condition Look up'!$I$4:$I$135,MATCH(G43,'G-8 Condition Look up'!$A$4:$A$135,0)),"")</f>
        <v/>
      </c>
      <c r="D43" s="287">
        <v>33</v>
      </c>
      <c r="E43" s="267"/>
      <c r="F43" s="61"/>
      <c r="G43" s="52" t="str">
        <f>IFERROR(INDEX('G-1 All Habitats'!$B$3:$B$134,MATCH(F43,'G-1 All Habitats'!$A$3:$A$134,0)),"")</f>
        <v/>
      </c>
      <c r="H43" s="53"/>
      <c r="I43" s="362" t="str">
        <f>IF(G43="","",VLOOKUP(G43,'G-1 All Habitats'!$B$2:$M$134,10,FALSE))</f>
        <v/>
      </c>
      <c r="J43" s="363" t="str">
        <f>IFERROR(VLOOKUP(I43,'G-1 All Habitats'!$V$3:$W$7,2,FALSE),"")</f>
        <v/>
      </c>
      <c r="K43" s="54"/>
      <c r="L43" s="363" t="str">
        <f>IFERROR(INDEX('G-8 Condition Look up'!$A$3:$H$135,MATCH(G43,'G-8 Condition Look up'!$A$3:$A$135,0),MATCH(K43,'G-8 Condition Look up'!$A$3:$H$3,0)),"")</f>
        <v/>
      </c>
      <c r="M43" s="54"/>
      <c r="N43" s="382" t="str">
        <f>IF(M43="","",IF(VLOOKUP(M43,'G-3 Multipliers'!$L$3:$N$6,2,FALSE)=0,"Spatial Data Missing",VLOOKUP(M43,'G-3 Multipliers'!$L$3:$N$6,2,FALSE)))</f>
        <v/>
      </c>
      <c r="O43" s="368" t="str">
        <f>IF(M43="","",IF(VLOOKUP(M43,'G-3 Multipliers'!$L$3:$N$6,3,FALSE)=0,"Spatial Data Missing ▲",VLOOKUP(M43,'G-3 Multipliers'!$L$3:$N$6,3,FALSE)))</f>
        <v/>
      </c>
      <c r="P43" s="369" t="str">
        <f>IFERROR(VLOOKUP(G43,'G-1 All Habitats'!$B$2:$M$134,12,FALSE),"")</f>
        <v/>
      </c>
      <c r="Q43" s="376" t="str">
        <f>IFERROR(IF(P43="","",IF(AND(P43='G-1 All Habitats'!$X$3,T43&gt;0),U43+V43,IF(AND(P43='G-1 All Habitats'!$X$3,S43&gt;0),U43+V43,IF(AND(P43='G-1 All Habitats'!$X$3,AC43&gt;0),"Any Loss Unacceptable ⚠",IF(AND(P43='G-1 All Habitats'!$X$3,W43&gt;0),"Any Loss Unacceptable ⚠",H43*J43*L43*O43))))),"Check Data ▲")</f>
        <v/>
      </c>
      <c r="R43" s="38"/>
      <c r="S43" s="54"/>
      <c r="T43" s="55"/>
      <c r="U43" s="374" t="str">
        <f t="shared" si="3"/>
        <v/>
      </c>
      <c r="V43" s="374" t="str">
        <f t="shared" si="4"/>
        <v/>
      </c>
      <c r="W43" s="374" t="str">
        <f>IF(E43="","",IF(H43&lt;S43+T43,"Error in Areas ▲",IF(P43&lt;&gt;'G-1 All Habitats'!$X$3,H43-S43-T43,IF(AND(P43='G-1 All Habitats'!$X$3,Y43="Yes"),"Unacceptable Loss ⚠",IF(AND(P43='G-1 All Habitats'!$X$3,Y43="No"),AC43,IF(AND(P43='G-1 All Habitats'!$X$3,Y43=""),AC43,IF(AND(P43='G-1 All Habitats'!$X$3,AC43="None",AC43),IF(AND(P43='G-1 All Habitats'!$X$3,AC43&gt;0),H43-S43-T43))))))))</f>
        <v/>
      </c>
      <c r="X43" s="378" t="str">
        <f>IFERROR(IF(H43="","",IF(H43-S43-T43=0&lt;0,"Error in Areas ▲",IF(S43+T43&gt;H43,"Error in Areas ▲",IF(AND(P43='G-1 All Habitats'!$X$3,Y43="Yes"),"Alternative Compensation ✓",IF(W43=0,0,IF(P43='G-1 All Habitats'!$X$3,"Any Loss Unacceptable ▲",Q43-U43-V43)))))),"Check Data ▲")</f>
        <v/>
      </c>
      <c r="Y43" s="55"/>
      <c r="Z43" s="62"/>
      <c r="AA43" s="526"/>
      <c r="AB43" s="120"/>
      <c r="AC43" s="726" t="str">
        <f>IF(P43="","",IF(P43='G-1 All Habitats'!$X$3,H43-S43-T43,"None"))</f>
        <v/>
      </c>
      <c r="AD43" s="727" t="str">
        <f>IF(P43="","", IF(P43='G-1 All Habitats'!$X$3, AC43*J43*L43*O43,"None"))</f>
        <v/>
      </c>
      <c r="AF43" s="40" t="str">
        <f t="shared" si="0"/>
        <v/>
      </c>
      <c r="AG43" s="40" t="str">
        <f t="shared" si="1"/>
        <v/>
      </c>
      <c r="AH43" s="40" t="str">
        <f>IF(I43="","",IF(#REF!&gt;0,TRUE,FALSE))</f>
        <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x14ac:dyDescent="0.25">
      <c r="A44" s="35" t="str">
        <f>IFERROR(INDEX('G-1 All Habitats'!$AG$3:$AG$17,MATCH(E44,'G-1 All Habitats'!$AF$3:$AF$17,0)),"")</f>
        <v/>
      </c>
      <c r="B44" s="35" t="str">
        <f>IFERROR(INDEX('G-8 Condition Look up'!$I$4:$I$135,MATCH(G44,'G-8 Condition Look up'!$A$4:$A$135,0)),"")</f>
        <v/>
      </c>
      <c r="D44" s="287">
        <v>34</v>
      </c>
      <c r="E44" s="267"/>
      <c r="F44" s="61"/>
      <c r="G44" s="52" t="str">
        <f>IFERROR(INDEX('G-1 All Habitats'!$B$3:$B$134,MATCH(F44,'G-1 All Habitats'!$A$3:$A$134,0)),"")</f>
        <v/>
      </c>
      <c r="H44" s="53"/>
      <c r="I44" s="362" t="str">
        <f>IF(G44="","",VLOOKUP(G44,'G-1 All Habitats'!$B$2:$M$134,10,FALSE))</f>
        <v/>
      </c>
      <c r="J44" s="363" t="str">
        <f>IFERROR(VLOOKUP(I44,'G-1 All Habitats'!$V$3:$W$7,2,FALSE),"")</f>
        <v/>
      </c>
      <c r="K44" s="54"/>
      <c r="L44" s="363" t="str">
        <f>IFERROR(INDEX('G-8 Condition Look up'!$A$3:$H$135,MATCH(G44,'G-8 Condition Look up'!$A$3:$A$135,0),MATCH(K44,'G-8 Condition Look up'!$A$3:$H$3,0)),"")</f>
        <v/>
      </c>
      <c r="M44" s="54"/>
      <c r="N44" s="382" t="str">
        <f>IF(M44="","",IF(VLOOKUP(M44,'G-3 Multipliers'!$L$3:$N$6,2,FALSE)=0,"Spatial Data Missing",VLOOKUP(M44,'G-3 Multipliers'!$L$3:$N$6,2,FALSE)))</f>
        <v/>
      </c>
      <c r="O44" s="368" t="str">
        <f>IF(M44="","",IF(VLOOKUP(M44,'G-3 Multipliers'!$L$3:$N$6,3,FALSE)=0,"Spatial Data Missing ▲",VLOOKUP(M44,'G-3 Multipliers'!$L$3:$N$6,3,FALSE)))</f>
        <v/>
      </c>
      <c r="P44" s="369" t="str">
        <f>IFERROR(VLOOKUP(G44,'G-1 All Habitats'!$B$2:$M$134,12,FALSE),"")</f>
        <v/>
      </c>
      <c r="Q44" s="376" t="str">
        <f>IFERROR(IF(P44="","",IF(AND(P44='G-1 All Habitats'!$X$3,T44&gt;0),U44+V44,IF(AND(P44='G-1 All Habitats'!$X$3,S44&gt;0),U44+V44,IF(AND(P44='G-1 All Habitats'!$X$3,AC44&gt;0),"Any Loss Unacceptable ⚠",IF(AND(P44='G-1 All Habitats'!$X$3,W44&gt;0),"Any Loss Unacceptable ⚠",H44*J44*L44*O44))))),"Check Data ▲")</f>
        <v/>
      </c>
      <c r="R44" s="38"/>
      <c r="S44" s="54"/>
      <c r="T44" s="55"/>
      <c r="U44" s="374" t="str">
        <f t="shared" si="3"/>
        <v/>
      </c>
      <c r="V44" s="374" t="str">
        <f t="shared" si="4"/>
        <v/>
      </c>
      <c r="W44" s="374" t="str">
        <f>IF(E44="","",IF(H44&lt;S44+T44,"Error in Areas ▲",IF(P44&lt;&gt;'G-1 All Habitats'!$X$3,H44-S44-T44,IF(AND(P44='G-1 All Habitats'!$X$3,Y44="Yes"),"Unacceptable Loss ⚠",IF(AND(P44='G-1 All Habitats'!$X$3,Y44="No"),AC44,IF(AND(P44='G-1 All Habitats'!$X$3,Y44=""),AC44,IF(AND(P44='G-1 All Habitats'!$X$3,AC44="None",AC44),IF(AND(P44='G-1 All Habitats'!$X$3,AC44&gt;0),H44-S44-T44))))))))</f>
        <v/>
      </c>
      <c r="X44" s="378" t="str">
        <f>IFERROR(IF(H44="","",IF(H44-S44-T44=0&lt;0,"Error in Areas ▲",IF(S44+T44&gt;H44,"Error in Areas ▲",IF(AND(P44='G-1 All Habitats'!$X$3,Y44="Yes"),"Alternative Compensation ✓",IF(W44=0,0,IF(P44='G-1 All Habitats'!$X$3,"Any Loss Unacceptable ▲",Q44-U44-V44)))))),"Check Data ▲")</f>
        <v/>
      </c>
      <c r="Y44" s="55"/>
      <c r="Z44" s="62"/>
      <c r="AA44" s="526"/>
      <c r="AB44" s="120"/>
      <c r="AC44" s="726" t="str">
        <f>IF(P44="","",IF(P44='G-1 All Habitats'!$X$3,H44-S44-T44,"None"))</f>
        <v/>
      </c>
      <c r="AD44" s="727" t="str">
        <f>IF(P44="","", IF(P44='G-1 All Habitats'!$X$3, AC44*J44*L44*O44,"None"))</f>
        <v/>
      </c>
      <c r="AF44" s="40" t="str">
        <f t="shared" si="0"/>
        <v/>
      </c>
      <c r="AG44" s="40" t="str">
        <f t="shared" si="1"/>
        <v/>
      </c>
      <c r="AH44" s="40" t="str">
        <f>IF(I44="","",IF(#REF!&gt;0,TRUE,FALSE))</f>
        <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x14ac:dyDescent="0.25">
      <c r="A45" s="35" t="str">
        <f>IFERROR(INDEX('G-1 All Habitats'!$AG$3:$AG$17,MATCH(E45,'G-1 All Habitats'!$AF$3:$AF$17,0)),"")</f>
        <v/>
      </c>
      <c r="B45" s="35" t="str">
        <f>IFERROR(INDEX('G-8 Condition Look up'!$I$4:$I$135,MATCH(G45,'G-8 Condition Look up'!$A$4:$A$135,0)),"")</f>
        <v/>
      </c>
      <c r="D45" s="287">
        <v>35</v>
      </c>
      <c r="E45" s="267"/>
      <c r="F45" s="61"/>
      <c r="G45" s="52" t="str">
        <f>IFERROR(INDEX('G-1 All Habitats'!$B$3:$B$134,MATCH(F45,'G-1 All Habitats'!$A$3:$A$134,0)),"")</f>
        <v/>
      </c>
      <c r="H45" s="53"/>
      <c r="I45" s="362" t="str">
        <f>IF(G45="","",VLOOKUP(G45,'G-1 All Habitats'!$B$2:$M$134,10,FALSE))</f>
        <v/>
      </c>
      <c r="J45" s="363" t="str">
        <f>IFERROR(VLOOKUP(I45,'G-1 All Habitats'!$V$3:$W$7,2,FALSE),"")</f>
        <v/>
      </c>
      <c r="K45" s="54"/>
      <c r="L45" s="363" t="str">
        <f>IFERROR(INDEX('G-8 Condition Look up'!$A$3:$H$135,MATCH(G45,'G-8 Condition Look up'!$A$3:$A$135,0),MATCH(K45,'G-8 Condition Look up'!$A$3:$H$3,0)),"")</f>
        <v/>
      </c>
      <c r="M45" s="54"/>
      <c r="N45" s="382" t="str">
        <f>IF(M45="","",IF(VLOOKUP(M45,'G-3 Multipliers'!$L$3:$N$6,2,FALSE)=0,"Spatial Data Missing",VLOOKUP(M45,'G-3 Multipliers'!$L$3:$N$6,2,FALSE)))</f>
        <v/>
      </c>
      <c r="O45" s="368" t="str">
        <f>IF(M45="","",IF(VLOOKUP(M45,'G-3 Multipliers'!$L$3:$N$6,3,FALSE)=0,"Spatial Data Missing ▲",VLOOKUP(M45,'G-3 Multipliers'!$L$3:$N$6,3,FALSE)))</f>
        <v/>
      </c>
      <c r="P45" s="369" t="str">
        <f>IFERROR(VLOOKUP(G45,'G-1 All Habitats'!$B$2:$M$134,12,FALSE),"")</f>
        <v/>
      </c>
      <c r="Q45" s="376" t="str">
        <f>IFERROR(IF(P45="","",IF(AND(P45='G-1 All Habitats'!$X$3,T45&gt;0),U45+V45,IF(AND(P45='G-1 All Habitats'!$X$3,S45&gt;0),U45+V45,IF(AND(P45='G-1 All Habitats'!$X$3,AC45&gt;0),"Any Loss Unacceptable ⚠",IF(AND(P45='G-1 All Habitats'!$X$3,W45&gt;0),"Any Loss Unacceptable ⚠",H45*J45*L45*O45))))),"Check Data ▲")</f>
        <v/>
      </c>
      <c r="R45" s="38"/>
      <c r="S45" s="54"/>
      <c r="T45" s="55"/>
      <c r="U45" s="374" t="str">
        <f t="shared" si="3"/>
        <v/>
      </c>
      <c r="V45" s="374" t="str">
        <f t="shared" si="4"/>
        <v/>
      </c>
      <c r="W45" s="374" t="str">
        <f>IF(E45="","",IF(H45&lt;S45+T45,"Error in Areas ▲",IF(P45&lt;&gt;'G-1 All Habitats'!$X$3,H45-S45-T45,IF(AND(P45='G-1 All Habitats'!$X$3,Y45="Yes"),"Unacceptable Loss ⚠",IF(AND(P45='G-1 All Habitats'!$X$3,Y45="No"),AC45,IF(AND(P45='G-1 All Habitats'!$X$3,Y45=""),AC45,IF(AND(P45='G-1 All Habitats'!$X$3,AC45="None",AC45),IF(AND(P45='G-1 All Habitats'!$X$3,AC45&gt;0),H45-S45-T45))))))))</f>
        <v/>
      </c>
      <c r="X45" s="378" t="str">
        <f>IFERROR(IF(H45="","",IF(H45-S45-T45=0&lt;0,"Error in Areas ▲",IF(S45+T45&gt;H45,"Error in Areas ▲",IF(AND(P45='G-1 All Habitats'!$X$3,Y45="Yes"),"Alternative Compensation ✓",IF(W45=0,0,IF(P45='G-1 All Habitats'!$X$3,"Any Loss Unacceptable ▲",Q45-U45-V45)))))),"Check Data ▲")</f>
        <v/>
      </c>
      <c r="Y45" s="55"/>
      <c r="Z45" s="62"/>
      <c r="AA45" s="526"/>
      <c r="AB45" s="120"/>
      <c r="AC45" s="726" t="str">
        <f>IF(P45="","",IF(P45='G-1 All Habitats'!$X$3,H45-S45-T45,"None"))</f>
        <v/>
      </c>
      <c r="AD45" s="727" t="str">
        <f>IF(P45="","", IF(P45='G-1 All Habitats'!$X$3, AC45*J45*L45*O45,"None"))</f>
        <v/>
      </c>
      <c r="AF45" s="40" t="str">
        <f t="shared" si="0"/>
        <v/>
      </c>
      <c r="AG45" s="40" t="str">
        <f t="shared" si="1"/>
        <v/>
      </c>
      <c r="AH45" s="40" t="str">
        <f>IF(I45="","",IF(#REF!&gt;0,TRUE,FALSE))</f>
        <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x14ac:dyDescent="0.25">
      <c r="A46" s="35" t="str">
        <f>IFERROR(INDEX('G-1 All Habitats'!$AG$3:$AG$17,MATCH(E46,'G-1 All Habitats'!$AF$3:$AF$17,0)),"")</f>
        <v/>
      </c>
      <c r="B46" s="35" t="str">
        <f>IFERROR(INDEX('G-8 Condition Look up'!$I$4:$I$135,MATCH(G46,'G-8 Condition Look up'!$A$4:$A$135,0)),"")</f>
        <v/>
      </c>
      <c r="D46" s="287">
        <v>36</v>
      </c>
      <c r="E46" s="267"/>
      <c r="F46" s="61"/>
      <c r="G46" s="52" t="str">
        <f>IFERROR(INDEX('G-1 All Habitats'!$B$3:$B$134,MATCH(F46,'G-1 All Habitats'!$A$3:$A$134,0)),"")</f>
        <v/>
      </c>
      <c r="H46" s="53"/>
      <c r="I46" s="362" t="str">
        <f>IF(G46="","",VLOOKUP(G46,'G-1 All Habitats'!$B$2:$M$134,10,FALSE))</f>
        <v/>
      </c>
      <c r="J46" s="363" t="str">
        <f>IFERROR(VLOOKUP(I46,'G-1 All Habitats'!$V$3:$W$7,2,FALSE),"")</f>
        <v/>
      </c>
      <c r="K46" s="54"/>
      <c r="L46" s="363" t="str">
        <f>IFERROR(INDEX('G-8 Condition Look up'!$A$3:$H$135,MATCH(G46,'G-8 Condition Look up'!$A$3:$A$135,0),MATCH(K46,'G-8 Condition Look up'!$A$3:$H$3,0)),"")</f>
        <v/>
      </c>
      <c r="M46" s="54"/>
      <c r="N46" s="382" t="str">
        <f>IF(M46="","",IF(VLOOKUP(M46,'G-3 Multipliers'!$L$3:$N$6,2,FALSE)=0,"Spatial Data Missing",VLOOKUP(M46,'G-3 Multipliers'!$L$3:$N$6,2,FALSE)))</f>
        <v/>
      </c>
      <c r="O46" s="368" t="str">
        <f>IF(M46="","",IF(VLOOKUP(M46,'G-3 Multipliers'!$L$3:$N$6,3,FALSE)=0,"Spatial Data Missing ▲",VLOOKUP(M46,'G-3 Multipliers'!$L$3:$N$6,3,FALSE)))</f>
        <v/>
      </c>
      <c r="P46" s="369" t="str">
        <f>IFERROR(VLOOKUP(G46,'G-1 All Habitats'!$B$2:$M$134,12,FALSE),"")</f>
        <v/>
      </c>
      <c r="Q46" s="376" t="str">
        <f>IFERROR(IF(P46="","",IF(AND(P46='G-1 All Habitats'!$X$3,T46&gt;0),U46+V46,IF(AND(P46='G-1 All Habitats'!$X$3,S46&gt;0),U46+V46,IF(AND(P46='G-1 All Habitats'!$X$3,AC46&gt;0),"Any Loss Unacceptable ⚠",IF(AND(P46='G-1 All Habitats'!$X$3,W46&gt;0),"Any Loss Unacceptable ⚠",H46*J46*L46*O46))))),"Check Data ▲")</f>
        <v/>
      </c>
      <c r="R46" s="38"/>
      <c r="S46" s="54"/>
      <c r="T46" s="55"/>
      <c r="U46" s="374" t="str">
        <f t="shared" si="3"/>
        <v/>
      </c>
      <c r="V46" s="374" t="str">
        <f t="shared" si="4"/>
        <v/>
      </c>
      <c r="W46" s="374" t="str">
        <f>IF(E46="","",IF(H46&lt;S46+T46,"Error in Areas ▲",IF(P46&lt;&gt;'G-1 All Habitats'!$X$3,H46-S46-T46,IF(AND(P46='G-1 All Habitats'!$X$3,Y46="Yes"),"Unacceptable Loss ⚠",IF(AND(P46='G-1 All Habitats'!$X$3,Y46="No"),AC46,IF(AND(P46='G-1 All Habitats'!$X$3,Y46=""),AC46,IF(AND(P46='G-1 All Habitats'!$X$3,AC46="None",AC46),IF(AND(P46='G-1 All Habitats'!$X$3,AC46&gt;0),H46-S46-T46))))))))</f>
        <v/>
      </c>
      <c r="X46" s="378" t="str">
        <f>IFERROR(IF(H46="","",IF(H46-S46-T46=0&lt;0,"Error in Areas ▲",IF(S46+T46&gt;H46,"Error in Areas ▲",IF(AND(P46='G-1 All Habitats'!$X$3,Y46="Yes"),"Alternative Compensation ✓",IF(W46=0,0,IF(P46='G-1 All Habitats'!$X$3,"Any Loss Unacceptable ▲",Q46-U46-V46)))))),"Check Data ▲")</f>
        <v/>
      </c>
      <c r="Y46" s="55"/>
      <c r="Z46" s="62"/>
      <c r="AA46" s="526"/>
      <c r="AB46" s="120"/>
      <c r="AC46" s="726" t="str">
        <f>IF(P46="","",IF(P46='G-1 All Habitats'!$X$3,H46-S46-T46,"None"))</f>
        <v/>
      </c>
      <c r="AD46" s="727" t="str">
        <f>IF(P46="","", IF(P46='G-1 All Habitats'!$X$3, AC46*J46*L46*O46,"None"))</f>
        <v/>
      </c>
      <c r="AF46" s="40" t="str">
        <f t="shared" si="0"/>
        <v/>
      </c>
      <c r="AG46" s="40" t="str">
        <f t="shared" si="1"/>
        <v/>
      </c>
      <c r="AH46" s="40" t="str">
        <f>IF(I46="","",IF(#REF!&gt;0,TRUE,FALSE))</f>
        <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x14ac:dyDescent="0.25">
      <c r="A47" s="35" t="str">
        <f>IFERROR(INDEX('G-1 All Habitats'!$AG$3:$AG$17,MATCH(E47,'G-1 All Habitats'!$AF$3:$AF$17,0)),"")</f>
        <v/>
      </c>
      <c r="B47" s="35" t="str">
        <f>IFERROR(INDEX('G-8 Condition Look up'!$I$4:$I$135,MATCH(G47,'G-8 Condition Look up'!$A$4:$A$135,0)),"")</f>
        <v/>
      </c>
      <c r="D47" s="287">
        <v>37</v>
      </c>
      <c r="E47" s="267"/>
      <c r="F47" s="61"/>
      <c r="G47" s="52" t="str">
        <f>IFERROR(INDEX('G-1 All Habitats'!$B$3:$B$134,MATCH(F47,'G-1 All Habitats'!$A$3:$A$134,0)),"")</f>
        <v/>
      </c>
      <c r="H47" s="53"/>
      <c r="I47" s="362" t="str">
        <f>IF(G47="","",VLOOKUP(G47,'G-1 All Habitats'!$B$2:$M$134,10,FALSE))</f>
        <v/>
      </c>
      <c r="J47" s="363" t="str">
        <f>IFERROR(VLOOKUP(I47,'G-1 All Habitats'!$V$3:$W$7,2,FALSE),"")</f>
        <v/>
      </c>
      <c r="K47" s="54"/>
      <c r="L47" s="363" t="str">
        <f>IFERROR(INDEX('G-8 Condition Look up'!$A$3:$H$135,MATCH(G47,'G-8 Condition Look up'!$A$3:$A$135,0),MATCH(K47,'G-8 Condition Look up'!$A$3:$H$3,0)),"")</f>
        <v/>
      </c>
      <c r="M47" s="54"/>
      <c r="N47" s="382" t="str">
        <f>IF(M47="","",IF(VLOOKUP(M47,'G-3 Multipliers'!$L$3:$N$6,2,FALSE)=0,"Spatial Data Missing",VLOOKUP(M47,'G-3 Multipliers'!$L$3:$N$6,2,FALSE)))</f>
        <v/>
      </c>
      <c r="O47" s="368" t="str">
        <f>IF(M47="","",IF(VLOOKUP(M47,'G-3 Multipliers'!$L$3:$N$6,3,FALSE)=0,"Spatial Data Missing ▲",VLOOKUP(M47,'G-3 Multipliers'!$L$3:$N$6,3,FALSE)))</f>
        <v/>
      </c>
      <c r="P47" s="369" t="str">
        <f>IFERROR(VLOOKUP(G47,'G-1 All Habitats'!$B$2:$M$134,12,FALSE),"")</f>
        <v/>
      </c>
      <c r="Q47" s="376" t="str">
        <f>IFERROR(IF(P47="","",IF(AND(P47='G-1 All Habitats'!$X$3,T47&gt;0),U47+V47,IF(AND(P47='G-1 All Habitats'!$X$3,S47&gt;0),U47+V47,IF(AND(P47='G-1 All Habitats'!$X$3,AC47&gt;0),"Any Loss Unacceptable ⚠",IF(AND(P47='G-1 All Habitats'!$X$3,W47&gt;0),"Any Loss Unacceptable ⚠",H47*J47*L47*O47))))),"Check Data ▲")</f>
        <v/>
      </c>
      <c r="R47" s="38"/>
      <c r="S47" s="54"/>
      <c r="T47" s="55"/>
      <c r="U47" s="374" t="str">
        <f t="shared" si="3"/>
        <v/>
      </c>
      <c r="V47" s="374" t="str">
        <f t="shared" si="4"/>
        <v/>
      </c>
      <c r="W47" s="374" t="str">
        <f>IF(E47="","",IF(H47&lt;S47+T47,"Error in Areas ▲",IF(P47&lt;&gt;'G-1 All Habitats'!$X$3,H47-S47-T47,IF(AND(P47='G-1 All Habitats'!$X$3,Y47="Yes"),"Unacceptable Loss ⚠",IF(AND(P47='G-1 All Habitats'!$X$3,Y47="No"),AC47,IF(AND(P47='G-1 All Habitats'!$X$3,Y47=""),AC47,IF(AND(P47='G-1 All Habitats'!$X$3,AC47="None",AC47),IF(AND(P47='G-1 All Habitats'!$X$3,AC47&gt;0),H47-S47-T47))))))))</f>
        <v/>
      </c>
      <c r="X47" s="378" t="str">
        <f>IFERROR(IF(H47="","",IF(H47-S47-T47=0&lt;0,"Error in Areas ▲",IF(S47+T47&gt;H47,"Error in Areas ▲",IF(AND(P47='G-1 All Habitats'!$X$3,Y47="Yes"),"Alternative Compensation ✓",IF(W47=0,0,IF(P47='G-1 All Habitats'!$X$3,"Any Loss Unacceptable ▲",Q47-U47-V47)))))),"Check Data ▲")</f>
        <v/>
      </c>
      <c r="Y47" s="55"/>
      <c r="Z47" s="62"/>
      <c r="AA47" s="526"/>
      <c r="AB47" s="120"/>
      <c r="AC47" s="726" t="str">
        <f>IF(P47="","",IF(P47='G-1 All Habitats'!$X$3,H47-S47-T47,"None"))</f>
        <v/>
      </c>
      <c r="AD47" s="727" t="str">
        <f>IF(P47="","", IF(P47='G-1 All Habitats'!$X$3, AC47*J47*L47*O47,"None"))</f>
        <v/>
      </c>
      <c r="AF47" s="40" t="str">
        <f t="shared" si="0"/>
        <v/>
      </c>
      <c r="AG47" s="40" t="str">
        <f t="shared" si="1"/>
        <v/>
      </c>
      <c r="AH47" s="40" t="str">
        <f>IF(I47="","",IF(#REF!&gt;0,TRUE,FALSE))</f>
        <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x14ac:dyDescent="0.25">
      <c r="A48" s="35" t="str">
        <f>IFERROR(INDEX('G-1 All Habitats'!$AG$3:$AG$17,MATCH(E48,'G-1 All Habitats'!$AF$3:$AF$17,0)),"")</f>
        <v/>
      </c>
      <c r="B48" s="35" t="str">
        <f>IFERROR(INDEX('G-8 Condition Look up'!$I$4:$I$135,MATCH(G48,'G-8 Condition Look up'!$A$4:$A$135,0)),"")</f>
        <v/>
      </c>
      <c r="D48" s="287">
        <v>38</v>
      </c>
      <c r="E48" s="267"/>
      <c r="F48" s="61"/>
      <c r="G48" s="52" t="str">
        <f>IFERROR(INDEX('G-1 All Habitats'!$B$3:$B$134,MATCH(F48,'G-1 All Habitats'!$A$3:$A$134,0)),"")</f>
        <v/>
      </c>
      <c r="H48" s="53"/>
      <c r="I48" s="362" t="str">
        <f>IF(G48="","",VLOOKUP(G48,'G-1 All Habitats'!$B$2:$M$134,10,FALSE))</f>
        <v/>
      </c>
      <c r="J48" s="363" t="str">
        <f>IFERROR(VLOOKUP(I48,'G-1 All Habitats'!$V$3:$W$7,2,FALSE),"")</f>
        <v/>
      </c>
      <c r="K48" s="54"/>
      <c r="L48" s="363" t="str">
        <f>IFERROR(INDEX('G-8 Condition Look up'!$A$3:$H$135,MATCH(G48,'G-8 Condition Look up'!$A$3:$A$135,0),MATCH(K48,'G-8 Condition Look up'!$A$3:$H$3,0)),"")</f>
        <v/>
      </c>
      <c r="M48" s="54"/>
      <c r="N48" s="382" t="str">
        <f>IF(M48="","",IF(VLOOKUP(M48,'G-3 Multipliers'!$L$3:$N$6,2,FALSE)=0,"Spatial Data Missing",VLOOKUP(M48,'G-3 Multipliers'!$L$3:$N$6,2,FALSE)))</f>
        <v/>
      </c>
      <c r="O48" s="368" t="str">
        <f>IF(M48="","",IF(VLOOKUP(M48,'G-3 Multipliers'!$L$3:$N$6,3,FALSE)=0,"Spatial Data Missing ▲",VLOOKUP(M48,'G-3 Multipliers'!$L$3:$N$6,3,FALSE)))</f>
        <v/>
      </c>
      <c r="P48" s="369" t="str">
        <f>IFERROR(VLOOKUP(G48,'G-1 All Habitats'!$B$2:$M$134,12,FALSE),"")</f>
        <v/>
      </c>
      <c r="Q48" s="376" t="str">
        <f>IFERROR(IF(P48="","",IF(AND(P48='G-1 All Habitats'!$X$3,T48&gt;0),U48+V48,IF(AND(P48='G-1 All Habitats'!$X$3,S48&gt;0),U48+V48,IF(AND(P48='G-1 All Habitats'!$X$3,AC48&gt;0),"Any Loss Unacceptable ⚠",IF(AND(P48='G-1 All Habitats'!$X$3,W48&gt;0),"Any Loss Unacceptable ⚠",H48*J48*L48*O48))))),"Check Data ▲")</f>
        <v/>
      </c>
      <c r="R48" s="38"/>
      <c r="S48" s="54"/>
      <c r="T48" s="55"/>
      <c r="U48" s="374" t="str">
        <f t="shared" si="3"/>
        <v/>
      </c>
      <c r="V48" s="374" t="str">
        <f t="shared" si="4"/>
        <v/>
      </c>
      <c r="W48" s="374" t="str">
        <f>IF(E48="","",IF(H48&lt;S48+T48,"Error in Areas ▲",IF(P48&lt;&gt;'G-1 All Habitats'!$X$3,H48-S48-T48,IF(AND(P48='G-1 All Habitats'!$X$3,Y48="Yes"),"Unacceptable Loss ⚠",IF(AND(P48='G-1 All Habitats'!$X$3,Y48="No"),AC48,IF(AND(P48='G-1 All Habitats'!$X$3,Y48=""),AC48,IF(AND(P48='G-1 All Habitats'!$X$3,AC48="None",AC48),IF(AND(P48='G-1 All Habitats'!$X$3,AC48&gt;0),H48-S48-T48))))))))</f>
        <v/>
      </c>
      <c r="X48" s="378" t="str">
        <f>IFERROR(IF(H48="","",IF(H48-S48-T48=0&lt;0,"Error in Areas ▲",IF(S48+T48&gt;H48,"Error in Areas ▲",IF(AND(P48='G-1 All Habitats'!$X$3,Y48="Yes"),"Alternative Compensation ✓",IF(W48=0,0,IF(P48='G-1 All Habitats'!$X$3,"Any Loss Unacceptable ▲",Q48-U48-V48)))))),"Check Data ▲")</f>
        <v/>
      </c>
      <c r="Y48" s="55"/>
      <c r="Z48" s="62"/>
      <c r="AA48" s="526"/>
      <c r="AB48" s="120"/>
      <c r="AC48" s="726" t="str">
        <f>IF(P48="","",IF(P48='G-1 All Habitats'!$X$3,H48-S48-T48,"None"))</f>
        <v/>
      </c>
      <c r="AD48" s="727" t="str">
        <f>IF(P48="","", IF(P48='G-1 All Habitats'!$X$3, AC48*J48*L48*O48,"None"))</f>
        <v/>
      </c>
      <c r="AF48" s="40" t="str">
        <f t="shared" si="0"/>
        <v/>
      </c>
      <c r="AG48" s="40" t="str">
        <f t="shared" si="1"/>
        <v/>
      </c>
      <c r="AH48" s="40" t="str">
        <f>IF(I48="","",IF(#REF!&gt;0,TRUE,FALSE))</f>
        <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x14ac:dyDescent="0.25">
      <c r="A49" s="35" t="str">
        <f>IFERROR(INDEX('G-1 All Habitats'!$AG$3:$AG$17,MATCH(E49,'G-1 All Habitats'!$AF$3:$AF$17,0)),"")</f>
        <v/>
      </c>
      <c r="B49" s="35" t="str">
        <f>IFERROR(INDEX('G-8 Condition Look up'!$I$4:$I$135,MATCH(G49,'G-8 Condition Look up'!$A$4:$A$135,0)),"")</f>
        <v/>
      </c>
      <c r="D49" s="287">
        <v>39</v>
      </c>
      <c r="E49" s="267"/>
      <c r="F49" s="61"/>
      <c r="G49" s="52" t="str">
        <f>IFERROR(INDEX('G-1 All Habitats'!$B$3:$B$134,MATCH(F49,'G-1 All Habitats'!$A$3:$A$134,0)),"")</f>
        <v/>
      </c>
      <c r="H49" s="53"/>
      <c r="I49" s="362" t="str">
        <f>IF(G49="","",VLOOKUP(G49,'G-1 All Habitats'!$B$2:$M$134,10,FALSE))</f>
        <v/>
      </c>
      <c r="J49" s="363" t="str">
        <f>IFERROR(VLOOKUP(I49,'G-1 All Habitats'!$V$3:$W$7,2,FALSE),"")</f>
        <v/>
      </c>
      <c r="K49" s="54"/>
      <c r="L49" s="363" t="str">
        <f>IFERROR(INDEX('G-8 Condition Look up'!$A$3:$H$135,MATCH(G49,'G-8 Condition Look up'!$A$3:$A$135,0),MATCH(K49,'G-8 Condition Look up'!$A$3:$H$3,0)),"")</f>
        <v/>
      </c>
      <c r="M49" s="54"/>
      <c r="N49" s="382" t="str">
        <f>IF(M49="","",IF(VLOOKUP(M49,'G-3 Multipliers'!$L$3:$N$6,2,FALSE)=0,"Spatial Data Missing",VLOOKUP(M49,'G-3 Multipliers'!$L$3:$N$6,2,FALSE)))</f>
        <v/>
      </c>
      <c r="O49" s="368" t="str">
        <f>IF(M49="","",IF(VLOOKUP(M49,'G-3 Multipliers'!$L$3:$N$6,3,FALSE)=0,"Spatial Data Missing ▲",VLOOKUP(M49,'G-3 Multipliers'!$L$3:$N$6,3,FALSE)))</f>
        <v/>
      </c>
      <c r="P49" s="369" t="str">
        <f>IFERROR(VLOOKUP(G49,'G-1 All Habitats'!$B$2:$M$134,12,FALSE),"")</f>
        <v/>
      </c>
      <c r="Q49" s="376" t="str">
        <f>IFERROR(IF(P49="","",IF(AND(P49='G-1 All Habitats'!$X$3,T49&gt;0),U49+V49,IF(AND(P49='G-1 All Habitats'!$X$3,S49&gt;0),U49+V49,IF(AND(P49='G-1 All Habitats'!$X$3,AC49&gt;0),"Any Loss Unacceptable ⚠",IF(AND(P49='G-1 All Habitats'!$X$3,W49&gt;0),"Any Loss Unacceptable ⚠",H49*J49*L49*O49))))),"Check Data ▲")</f>
        <v/>
      </c>
      <c r="R49" s="38"/>
      <c r="S49" s="54"/>
      <c r="T49" s="55"/>
      <c r="U49" s="374" t="str">
        <f t="shared" si="3"/>
        <v/>
      </c>
      <c r="V49" s="374" t="str">
        <f t="shared" si="4"/>
        <v/>
      </c>
      <c r="W49" s="374" t="str">
        <f>IF(E49="","",IF(H49&lt;S49+T49,"Error in Areas ▲",IF(P49&lt;&gt;'G-1 All Habitats'!$X$3,H49-S49-T49,IF(AND(P49='G-1 All Habitats'!$X$3,Y49="Yes"),"Unacceptable Loss ⚠",IF(AND(P49='G-1 All Habitats'!$X$3,Y49="No"),AC49,IF(AND(P49='G-1 All Habitats'!$X$3,Y49=""),AC49,IF(AND(P49='G-1 All Habitats'!$X$3,AC49="None",AC49),IF(AND(P49='G-1 All Habitats'!$X$3,AC49&gt;0),H49-S49-T49))))))))</f>
        <v/>
      </c>
      <c r="X49" s="378" t="str">
        <f>IFERROR(IF(H49="","",IF(H49-S49-T49=0&lt;0,"Error in Areas ▲",IF(S49+T49&gt;H49,"Error in Areas ▲",IF(AND(P49='G-1 All Habitats'!$X$3,Y49="Yes"),"Alternative Compensation ✓",IF(W49=0,0,IF(P49='G-1 All Habitats'!$X$3,"Any Loss Unacceptable ▲",Q49-U49-V49)))))),"Check Data ▲")</f>
        <v/>
      </c>
      <c r="Y49" s="55"/>
      <c r="Z49" s="62"/>
      <c r="AA49" s="526"/>
      <c r="AB49" s="120"/>
      <c r="AC49" s="726" t="str">
        <f>IF(P49="","",IF(P49='G-1 All Habitats'!$X$3,H49-S49-T49,"None"))</f>
        <v/>
      </c>
      <c r="AD49" s="727" t="str">
        <f>IF(P49="","", IF(P49='G-1 All Habitats'!$X$3, AC49*J49*L49*O49,"None"))</f>
        <v/>
      </c>
      <c r="AF49" s="40" t="str">
        <f t="shared" si="0"/>
        <v/>
      </c>
      <c r="AG49" s="40" t="str">
        <f t="shared" si="1"/>
        <v/>
      </c>
      <c r="AH49" s="40" t="str">
        <f>IF(I49="","",IF(#REF!&gt;0,TRUE,FALSE))</f>
        <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x14ac:dyDescent="0.25">
      <c r="A50" s="35" t="str">
        <f>IFERROR(INDEX('G-1 All Habitats'!$AG$3:$AG$17,MATCH(E50,'G-1 All Habitats'!$AF$3:$AF$17,0)),"")</f>
        <v/>
      </c>
      <c r="B50" s="35" t="str">
        <f>IFERROR(INDEX('G-8 Condition Look up'!$I$4:$I$135,MATCH(G50,'G-8 Condition Look up'!$A$4:$A$135,0)),"")</f>
        <v/>
      </c>
      <c r="D50" s="287">
        <v>40</v>
      </c>
      <c r="E50" s="267"/>
      <c r="F50" s="61"/>
      <c r="G50" s="52" t="str">
        <f>IFERROR(INDEX('G-1 All Habitats'!$B$3:$B$134,MATCH(F50,'G-1 All Habitats'!$A$3:$A$134,0)),"")</f>
        <v/>
      </c>
      <c r="H50" s="53"/>
      <c r="I50" s="362" t="str">
        <f>IF(G50="","",VLOOKUP(G50,'G-1 All Habitats'!$B$2:$M$134,10,FALSE))</f>
        <v/>
      </c>
      <c r="J50" s="363" t="str">
        <f>IFERROR(VLOOKUP(I50,'G-1 All Habitats'!$V$3:$W$7,2,FALSE),"")</f>
        <v/>
      </c>
      <c r="K50" s="54"/>
      <c r="L50" s="363" t="str">
        <f>IFERROR(INDEX('G-8 Condition Look up'!$A$3:$H$135,MATCH(G50,'G-8 Condition Look up'!$A$3:$A$135,0),MATCH(K50,'G-8 Condition Look up'!$A$3:$H$3,0)),"")</f>
        <v/>
      </c>
      <c r="M50" s="54"/>
      <c r="N50" s="382" t="str">
        <f>IF(M50="","",IF(VLOOKUP(M50,'G-3 Multipliers'!$L$3:$N$6,2,FALSE)=0,"Spatial Data Missing",VLOOKUP(M50,'G-3 Multipliers'!$L$3:$N$6,2,FALSE)))</f>
        <v/>
      </c>
      <c r="O50" s="368" t="str">
        <f>IF(M50="","",IF(VLOOKUP(M50,'G-3 Multipliers'!$L$3:$N$6,3,FALSE)=0,"Spatial Data Missing ▲",VLOOKUP(M50,'G-3 Multipliers'!$L$3:$N$6,3,FALSE)))</f>
        <v/>
      </c>
      <c r="P50" s="369" t="str">
        <f>IFERROR(VLOOKUP(G50,'G-1 All Habitats'!$B$2:$M$134,12,FALSE),"")</f>
        <v/>
      </c>
      <c r="Q50" s="376" t="str">
        <f>IFERROR(IF(P50="","",IF(AND(P50='G-1 All Habitats'!$X$3,T50&gt;0),U50+V50,IF(AND(P50='G-1 All Habitats'!$X$3,S50&gt;0),U50+V50,IF(AND(P50='G-1 All Habitats'!$X$3,AC50&gt;0),"Any Loss Unacceptable ⚠",IF(AND(P50='G-1 All Habitats'!$X$3,W50&gt;0),"Any Loss Unacceptable ⚠",H50*J50*L50*O50))))),"Check Data ▲")</f>
        <v/>
      </c>
      <c r="R50" s="38"/>
      <c r="S50" s="54"/>
      <c r="T50" s="55"/>
      <c r="U50" s="374" t="str">
        <f t="shared" si="3"/>
        <v/>
      </c>
      <c r="V50" s="374" t="str">
        <f t="shared" si="4"/>
        <v/>
      </c>
      <c r="W50" s="374" t="str">
        <f>IF(E50="","",IF(H50&lt;S50+T50,"Error in Areas ▲",IF(P50&lt;&gt;'G-1 All Habitats'!$X$3,H50-S50-T50,IF(AND(P50='G-1 All Habitats'!$X$3,Y50="Yes"),"Unacceptable Loss ⚠",IF(AND(P50='G-1 All Habitats'!$X$3,Y50="No"),AC50,IF(AND(P50='G-1 All Habitats'!$X$3,Y50=""),AC50,IF(AND(P50='G-1 All Habitats'!$X$3,AC50="None",AC50),IF(AND(P50='G-1 All Habitats'!$X$3,AC50&gt;0),H50-S50-T50))))))))</f>
        <v/>
      </c>
      <c r="X50" s="378" t="str">
        <f>IFERROR(IF(H50="","",IF(H50-S50-T50=0&lt;0,"Error in Areas ▲",IF(S50+T50&gt;H50,"Error in Areas ▲",IF(AND(P50='G-1 All Habitats'!$X$3,Y50="Yes"),"Alternative Compensation ✓",IF(W50=0,0,IF(P50='G-1 All Habitats'!$X$3,"Any Loss Unacceptable ▲",Q50-U50-V50)))))),"Check Data ▲")</f>
        <v/>
      </c>
      <c r="Y50" s="55"/>
      <c r="Z50" s="62"/>
      <c r="AA50" s="526"/>
      <c r="AB50" s="120"/>
      <c r="AC50" s="726" t="str">
        <f>IF(P50="","",IF(P50='G-1 All Habitats'!$X$3,H50-S50-T50,"None"))</f>
        <v/>
      </c>
      <c r="AD50" s="727" t="str">
        <f>IF(P50="","", IF(P50='G-1 All Habitats'!$X$3, AC50*J50*L50*O50,"None"))</f>
        <v/>
      </c>
      <c r="AF50" s="40" t="str">
        <f t="shared" si="0"/>
        <v/>
      </c>
      <c r="AG50" s="40" t="str">
        <f t="shared" si="1"/>
        <v/>
      </c>
      <c r="AH50" s="40" t="str">
        <f>IF(I50="","",IF(#REF!&gt;0,TRUE,FALSE))</f>
        <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x14ac:dyDescent="0.25">
      <c r="A51" s="35" t="str">
        <f>IFERROR(INDEX('G-1 All Habitats'!$AG$3:$AG$17,MATCH(E51,'G-1 All Habitats'!$AF$3:$AF$17,0)),"")</f>
        <v/>
      </c>
      <c r="B51" s="35" t="str">
        <f>IFERROR(INDEX('G-8 Condition Look up'!$I$4:$I$135,MATCH(G51,'G-8 Condition Look up'!$A$4:$A$135,0)),"")</f>
        <v/>
      </c>
      <c r="D51" s="287">
        <v>41</v>
      </c>
      <c r="E51" s="267"/>
      <c r="F51" s="61"/>
      <c r="G51" s="52" t="str">
        <f>IFERROR(INDEX('G-1 All Habitats'!$B$3:$B$134,MATCH(F51,'G-1 All Habitats'!$A$3:$A$134,0)),"")</f>
        <v/>
      </c>
      <c r="H51" s="53"/>
      <c r="I51" s="362" t="str">
        <f>IF(G51="","",VLOOKUP(G51,'G-1 All Habitats'!$B$2:$M$134,10,FALSE))</f>
        <v/>
      </c>
      <c r="J51" s="363" t="str">
        <f>IFERROR(VLOOKUP(I51,'G-1 All Habitats'!$V$3:$W$7,2,FALSE),"")</f>
        <v/>
      </c>
      <c r="K51" s="54"/>
      <c r="L51" s="363" t="str">
        <f>IFERROR(INDEX('G-8 Condition Look up'!$A$3:$H$135,MATCH(G51,'G-8 Condition Look up'!$A$3:$A$135,0),MATCH(K51,'G-8 Condition Look up'!$A$3:$H$3,0)),"")</f>
        <v/>
      </c>
      <c r="M51" s="54"/>
      <c r="N51" s="382" t="str">
        <f>IF(M51="","",IF(VLOOKUP(M51,'G-3 Multipliers'!$L$3:$N$6,2,FALSE)=0,"Spatial Data Missing",VLOOKUP(M51,'G-3 Multipliers'!$L$3:$N$6,2,FALSE)))</f>
        <v/>
      </c>
      <c r="O51" s="368" t="str">
        <f>IF(M51="","",IF(VLOOKUP(M51,'G-3 Multipliers'!$L$3:$N$6,3,FALSE)=0,"Spatial Data Missing ▲",VLOOKUP(M51,'G-3 Multipliers'!$L$3:$N$6,3,FALSE)))</f>
        <v/>
      </c>
      <c r="P51" s="369" t="str">
        <f>IFERROR(VLOOKUP(G51,'G-1 All Habitats'!$B$2:$M$134,12,FALSE),"")</f>
        <v/>
      </c>
      <c r="Q51" s="376" t="str">
        <f>IFERROR(IF(P51="","",IF(AND(P51='G-1 All Habitats'!$X$3,T51&gt;0),U51+V51,IF(AND(P51='G-1 All Habitats'!$X$3,S51&gt;0),U51+V51,IF(AND(P51='G-1 All Habitats'!$X$3,AC51&gt;0),"Any Loss Unacceptable ⚠",IF(AND(P51='G-1 All Habitats'!$X$3,W51&gt;0),"Any Loss Unacceptable ⚠",H51*J51*L51*O51))))),"Check Data ▲")</f>
        <v/>
      </c>
      <c r="R51" s="38"/>
      <c r="S51" s="54"/>
      <c r="T51" s="55"/>
      <c r="U51" s="374" t="str">
        <f t="shared" si="3"/>
        <v/>
      </c>
      <c r="V51" s="374" t="str">
        <f t="shared" si="4"/>
        <v/>
      </c>
      <c r="W51" s="374" t="str">
        <f>IF(E51="","",IF(H51&lt;S51+T51,"Error in Areas ▲",IF(P51&lt;&gt;'G-1 All Habitats'!$X$3,H51-S51-T51,IF(AND(P51='G-1 All Habitats'!$X$3,Y51="Yes"),"Unacceptable Loss ⚠",IF(AND(P51='G-1 All Habitats'!$X$3,Y51="No"),AC51,IF(AND(P51='G-1 All Habitats'!$X$3,Y51=""),AC51,IF(AND(P51='G-1 All Habitats'!$X$3,AC51="None",AC51),IF(AND(P51='G-1 All Habitats'!$X$3,AC51&gt;0),H51-S51-T51))))))))</f>
        <v/>
      </c>
      <c r="X51" s="378" t="str">
        <f>IFERROR(IF(H51="","",IF(H51-S51-T51=0&lt;0,"Error in Areas ▲",IF(S51+T51&gt;H51,"Error in Areas ▲",IF(AND(P51='G-1 All Habitats'!$X$3,Y51="Yes"),"Alternative Compensation ✓",IF(W51=0,0,IF(P51='G-1 All Habitats'!$X$3,"Any Loss Unacceptable ▲",Q51-U51-V51)))))),"Check Data ▲")</f>
        <v/>
      </c>
      <c r="Y51" s="55"/>
      <c r="Z51" s="62"/>
      <c r="AA51" s="526"/>
      <c r="AB51" s="120"/>
      <c r="AC51" s="726" t="str">
        <f>IF(P51="","",IF(P51='G-1 All Habitats'!$X$3,H51-S51-T51,"None"))</f>
        <v/>
      </c>
      <c r="AD51" s="727" t="str">
        <f>IF(P51="","", IF(P51='G-1 All Habitats'!$X$3, AC51*J51*L51*O51,"None"))</f>
        <v/>
      </c>
      <c r="AF51" s="40" t="str">
        <f t="shared" si="0"/>
        <v/>
      </c>
      <c r="AG51" s="40" t="str">
        <f t="shared" si="1"/>
        <v/>
      </c>
      <c r="AH51" s="40" t="str">
        <f>IF(I51="","",IF(#REF!&gt;0,TRUE,FALSE))</f>
        <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x14ac:dyDescent="0.25">
      <c r="A52" s="35" t="str">
        <f>IFERROR(INDEX('G-1 All Habitats'!$AG$3:$AG$17,MATCH(E52,'G-1 All Habitats'!$AF$3:$AF$17,0)),"")</f>
        <v/>
      </c>
      <c r="B52" s="35" t="str">
        <f>IFERROR(INDEX('G-8 Condition Look up'!$I$4:$I$135,MATCH(G52,'G-8 Condition Look up'!$A$4:$A$135,0)),"")</f>
        <v/>
      </c>
      <c r="D52" s="287">
        <v>42</v>
      </c>
      <c r="E52" s="267"/>
      <c r="F52" s="61"/>
      <c r="G52" s="52" t="str">
        <f>IFERROR(INDEX('G-1 All Habitats'!$B$3:$B$134,MATCH(F52,'G-1 All Habitats'!$A$3:$A$134,0)),"")</f>
        <v/>
      </c>
      <c r="H52" s="53"/>
      <c r="I52" s="362" t="str">
        <f>IF(G52="","",VLOOKUP(G52,'G-1 All Habitats'!$B$2:$M$134,10,FALSE))</f>
        <v/>
      </c>
      <c r="J52" s="363" t="str">
        <f>IFERROR(VLOOKUP(I52,'G-1 All Habitats'!$V$3:$W$7,2,FALSE),"")</f>
        <v/>
      </c>
      <c r="K52" s="54"/>
      <c r="L52" s="363" t="str">
        <f>IFERROR(INDEX('G-8 Condition Look up'!$A$3:$H$135,MATCH(G52,'G-8 Condition Look up'!$A$3:$A$135,0),MATCH(K52,'G-8 Condition Look up'!$A$3:$H$3,0)),"")</f>
        <v/>
      </c>
      <c r="M52" s="54"/>
      <c r="N52" s="382" t="str">
        <f>IF(M52="","",IF(VLOOKUP(M52,'G-3 Multipliers'!$L$3:$N$6,2,FALSE)=0,"Spatial Data Missing",VLOOKUP(M52,'G-3 Multipliers'!$L$3:$N$6,2,FALSE)))</f>
        <v/>
      </c>
      <c r="O52" s="368" t="str">
        <f>IF(M52="","",IF(VLOOKUP(M52,'G-3 Multipliers'!$L$3:$N$6,3,FALSE)=0,"Spatial Data Missing ▲",VLOOKUP(M52,'G-3 Multipliers'!$L$3:$N$6,3,FALSE)))</f>
        <v/>
      </c>
      <c r="P52" s="369" t="str">
        <f>IFERROR(VLOOKUP(G52,'G-1 All Habitats'!$B$2:$M$134,12,FALSE),"")</f>
        <v/>
      </c>
      <c r="Q52" s="376" t="str">
        <f>IFERROR(IF(P52="","",IF(AND(P52='G-1 All Habitats'!$X$3,T52&gt;0),U52+V52,IF(AND(P52='G-1 All Habitats'!$X$3,S52&gt;0),U52+V52,IF(AND(P52='G-1 All Habitats'!$X$3,AC52&gt;0),"Any Loss Unacceptable ⚠",IF(AND(P52='G-1 All Habitats'!$X$3,W52&gt;0),"Any Loss Unacceptable ⚠",H52*J52*L52*O52))))),"Check Data ▲")</f>
        <v/>
      </c>
      <c r="R52" s="38"/>
      <c r="S52" s="54"/>
      <c r="T52" s="55"/>
      <c r="U52" s="374" t="str">
        <f t="shared" si="3"/>
        <v/>
      </c>
      <c r="V52" s="374" t="str">
        <f t="shared" si="4"/>
        <v/>
      </c>
      <c r="W52" s="374" t="str">
        <f>IF(E52="","",IF(H52&lt;S52+T52,"Error in Areas ▲",IF(P52&lt;&gt;'G-1 All Habitats'!$X$3,H52-S52-T52,IF(AND(P52='G-1 All Habitats'!$X$3,Y52="Yes"),"Unacceptable Loss ⚠",IF(AND(P52='G-1 All Habitats'!$X$3,Y52="No"),AC52,IF(AND(P52='G-1 All Habitats'!$X$3,Y52=""),AC52,IF(AND(P52='G-1 All Habitats'!$X$3,AC52="None",AC52),IF(AND(P52='G-1 All Habitats'!$X$3,AC52&gt;0),H52-S52-T52))))))))</f>
        <v/>
      </c>
      <c r="X52" s="378" t="str">
        <f>IFERROR(IF(H52="","",IF(H52-S52-T52=0&lt;0,"Error in Areas ▲",IF(S52+T52&gt;H52,"Error in Areas ▲",IF(AND(P52='G-1 All Habitats'!$X$3,Y52="Yes"),"Alternative Compensation ✓",IF(W52=0,0,IF(P52='G-1 All Habitats'!$X$3,"Any Loss Unacceptable ▲",Q52-U52-V52)))))),"Check Data ▲")</f>
        <v/>
      </c>
      <c r="Y52" s="55"/>
      <c r="Z52" s="62"/>
      <c r="AA52" s="526"/>
      <c r="AB52" s="120"/>
      <c r="AC52" s="726" t="str">
        <f>IF(P52="","",IF(P52='G-1 All Habitats'!$X$3,H52-S52-T52,"None"))</f>
        <v/>
      </c>
      <c r="AD52" s="727" t="str">
        <f>IF(P52="","", IF(P52='G-1 All Habitats'!$X$3, AC52*J52*L52*O52,"None"))</f>
        <v/>
      </c>
      <c r="AF52" s="40" t="str">
        <f t="shared" si="0"/>
        <v/>
      </c>
      <c r="AG52" s="40" t="str">
        <f t="shared" si="1"/>
        <v/>
      </c>
      <c r="AH52" s="40" t="str">
        <f>IF(I52="","",IF(#REF!&gt;0,TRUE,FALSE))</f>
        <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x14ac:dyDescent="0.25">
      <c r="A53" s="35" t="str">
        <f>IFERROR(INDEX('G-1 All Habitats'!$AG$3:$AG$17,MATCH(E53,'G-1 All Habitats'!$AF$3:$AF$17,0)),"")</f>
        <v/>
      </c>
      <c r="B53" s="35" t="str">
        <f>IFERROR(INDEX('G-8 Condition Look up'!$I$4:$I$135,MATCH(G53,'G-8 Condition Look up'!$A$4:$A$135,0)),"")</f>
        <v/>
      </c>
      <c r="D53" s="287">
        <v>43</v>
      </c>
      <c r="E53" s="267"/>
      <c r="F53" s="61"/>
      <c r="G53" s="52" t="str">
        <f>IFERROR(INDEX('G-1 All Habitats'!$B$3:$B$134,MATCH(F53,'G-1 All Habitats'!$A$3:$A$134,0)),"")</f>
        <v/>
      </c>
      <c r="H53" s="53"/>
      <c r="I53" s="362" t="str">
        <f>IF(G53="","",VLOOKUP(G53,'G-1 All Habitats'!$B$2:$M$134,10,FALSE))</f>
        <v/>
      </c>
      <c r="J53" s="363" t="str">
        <f>IFERROR(VLOOKUP(I53,'G-1 All Habitats'!$V$3:$W$7,2,FALSE),"")</f>
        <v/>
      </c>
      <c r="K53" s="54"/>
      <c r="L53" s="363" t="str">
        <f>IFERROR(INDEX('G-8 Condition Look up'!$A$3:$H$135,MATCH(G53,'G-8 Condition Look up'!$A$3:$A$135,0),MATCH(K53,'G-8 Condition Look up'!$A$3:$H$3,0)),"")</f>
        <v/>
      </c>
      <c r="M53" s="54"/>
      <c r="N53" s="382" t="str">
        <f>IF(M53="","",IF(VLOOKUP(M53,'G-3 Multipliers'!$L$3:$N$6,2,FALSE)=0,"Spatial Data Missing",VLOOKUP(M53,'G-3 Multipliers'!$L$3:$N$6,2,FALSE)))</f>
        <v/>
      </c>
      <c r="O53" s="368" t="str">
        <f>IF(M53="","",IF(VLOOKUP(M53,'G-3 Multipliers'!$L$3:$N$6,3,FALSE)=0,"Spatial Data Missing ▲",VLOOKUP(M53,'G-3 Multipliers'!$L$3:$N$6,3,FALSE)))</f>
        <v/>
      </c>
      <c r="P53" s="369" t="str">
        <f>IFERROR(VLOOKUP(G53,'G-1 All Habitats'!$B$2:$M$134,12,FALSE),"")</f>
        <v/>
      </c>
      <c r="Q53" s="376" t="str">
        <f>IFERROR(IF(P53="","",IF(AND(P53='G-1 All Habitats'!$X$3,T53&gt;0),U53+V53,IF(AND(P53='G-1 All Habitats'!$X$3,S53&gt;0),U53+V53,IF(AND(P53='G-1 All Habitats'!$X$3,AC53&gt;0),"Any Loss Unacceptable ⚠",IF(AND(P53='G-1 All Habitats'!$X$3,W53&gt;0),"Any Loss Unacceptable ⚠",H53*J53*L53*O53))))),"Check Data ▲")</f>
        <v/>
      </c>
      <c r="R53" s="38"/>
      <c r="S53" s="54"/>
      <c r="T53" s="55"/>
      <c r="U53" s="374" t="str">
        <f t="shared" si="3"/>
        <v/>
      </c>
      <c r="V53" s="374" t="str">
        <f t="shared" si="4"/>
        <v/>
      </c>
      <c r="W53" s="374" t="str">
        <f>IF(E53="","",IF(H53&lt;S53+T53,"Error in Areas ▲",IF(P53&lt;&gt;'G-1 All Habitats'!$X$3,H53-S53-T53,IF(AND(P53='G-1 All Habitats'!$X$3,Y53="Yes"),"Unacceptable Loss ⚠",IF(AND(P53='G-1 All Habitats'!$X$3,Y53="No"),AC53,IF(AND(P53='G-1 All Habitats'!$X$3,Y53=""),AC53,IF(AND(P53='G-1 All Habitats'!$X$3,AC53="None",AC53),IF(AND(P53='G-1 All Habitats'!$X$3,AC53&gt;0),H53-S53-T53))))))))</f>
        <v/>
      </c>
      <c r="X53" s="378" t="str">
        <f>IFERROR(IF(H53="","",IF(H53-S53-T53=0&lt;0,"Error in Areas ▲",IF(S53+T53&gt;H53,"Error in Areas ▲",IF(AND(P53='G-1 All Habitats'!$X$3,Y53="Yes"),"Alternative Compensation ✓",IF(W53=0,0,IF(P53='G-1 All Habitats'!$X$3,"Any Loss Unacceptable ▲",Q53-U53-V53)))))),"Check Data ▲")</f>
        <v/>
      </c>
      <c r="Y53" s="55"/>
      <c r="Z53" s="62"/>
      <c r="AA53" s="526"/>
      <c r="AB53" s="120"/>
      <c r="AC53" s="726" t="str">
        <f>IF(P53="","",IF(P53='G-1 All Habitats'!$X$3,H53-S53-T53,"None"))</f>
        <v/>
      </c>
      <c r="AD53" s="727" t="str">
        <f>IF(P53="","", IF(P53='G-1 All Habitats'!$X$3, AC53*J53*L53*O53,"None"))</f>
        <v/>
      </c>
      <c r="AF53" s="40" t="str">
        <f t="shared" si="0"/>
        <v/>
      </c>
      <c r="AG53" s="40" t="str">
        <f t="shared" si="1"/>
        <v/>
      </c>
      <c r="AH53" s="40" t="str">
        <f>IF(I53="","",IF(#REF!&gt;0,TRUE,FALSE))</f>
        <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x14ac:dyDescent="0.25">
      <c r="A54" s="35" t="str">
        <f>IFERROR(INDEX('G-1 All Habitats'!$AG$3:$AG$17,MATCH(E54,'G-1 All Habitats'!$AF$3:$AF$17,0)),"")</f>
        <v/>
      </c>
      <c r="B54" s="35" t="str">
        <f>IFERROR(INDEX('G-8 Condition Look up'!$I$4:$I$135,MATCH(G54,'G-8 Condition Look up'!$A$4:$A$135,0)),"")</f>
        <v/>
      </c>
      <c r="D54" s="287">
        <v>44</v>
      </c>
      <c r="E54" s="267"/>
      <c r="F54" s="61"/>
      <c r="G54" s="52" t="str">
        <f>IFERROR(INDEX('G-1 All Habitats'!$B$3:$B$134,MATCH(F54,'G-1 All Habitats'!$A$3:$A$134,0)),"")</f>
        <v/>
      </c>
      <c r="H54" s="53"/>
      <c r="I54" s="362" t="str">
        <f>IF(G54="","",VLOOKUP(G54,'G-1 All Habitats'!$B$2:$M$134,10,FALSE))</f>
        <v/>
      </c>
      <c r="J54" s="363" t="str">
        <f>IFERROR(VLOOKUP(I54,'G-1 All Habitats'!$V$3:$W$7,2,FALSE),"")</f>
        <v/>
      </c>
      <c r="K54" s="54"/>
      <c r="L54" s="363" t="str">
        <f>IFERROR(INDEX('G-8 Condition Look up'!$A$3:$H$135,MATCH(G54,'G-8 Condition Look up'!$A$3:$A$135,0),MATCH(K54,'G-8 Condition Look up'!$A$3:$H$3,0)),"")</f>
        <v/>
      </c>
      <c r="M54" s="54"/>
      <c r="N54" s="382" t="str">
        <f>IF(M54="","",IF(VLOOKUP(M54,'G-3 Multipliers'!$L$3:$N$6,2,FALSE)=0,"Spatial Data Missing",VLOOKUP(M54,'G-3 Multipliers'!$L$3:$N$6,2,FALSE)))</f>
        <v/>
      </c>
      <c r="O54" s="368" t="str">
        <f>IF(M54="","",IF(VLOOKUP(M54,'G-3 Multipliers'!$L$3:$N$6,3,FALSE)=0,"Spatial Data Missing ▲",VLOOKUP(M54,'G-3 Multipliers'!$L$3:$N$6,3,FALSE)))</f>
        <v/>
      </c>
      <c r="P54" s="369" t="str">
        <f>IFERROR(VLOOKUP(G54,'G-1 All Habitats'!$B$2:$M$134,12,FALSE),"")</f>
        <v/>
      </c>
      <c r="Q54" s="376" t="str">
        <f>IFERROR(IF(P54="","",IF(AND(P54='G-1 All Habitats'!$X$3,T54&gt;0),U54+V54,IF(AND(P54='G-1 All Habitats'!$X$3,S54&gt;0),U54+V54,IF(AND(P54='G-1 All Habitats'!$X$3,AC54&gt;0),"Any Loss Unacceptable ⚠",IF(AND(P54='G-1 All Habitats'!$X$3,W54&gt;0),"Any Loss Unacceptable ⚠",H54*J54*L54*O54))))),"Check Data ▲")</f>
        <v/>
      </c>
      <c r="R54" s="38"/>
      <c r="S54" s="54"/>
      <c r="T54" s="55"/>
      <c r="U54" s="374" t="str">
        <f t="shared" si="3"/>
        <v/>
      </c>
      <c r="V54" s="374" t="str">
        <f t="shared" si="4"/>
        <v/>
      </c>
      <c r="W54" s="374" t="str">
        <f>IF(E54="","",IF(H54&lt;S54+T54,"Error in Areas ▲",IF(P54&lt;&gt;'G-1 All Habitats'!$X$3,H54-S54-T54,IF(AND(P54='G-1 All Habitats'!$X$3,Y54="Yes"),"Unacceptable Loss ⚠",IF(AND(P54='G-1 All Habitats'!$X$3,Y54="No"),AC54,IF(AND(P54='G-1 All Habitats'!$X$3,Y54=""),AC54,IF(AND(P54='G-1 All Habitats'!$X$3,AC54="None",AC54),IF(AND(P54='G-1 All Habitats'!$X$3,AC54&gt;0),H54-S54-T54))))))))</f>
        <v/>
      </c>
      <c r="X54" s="378" t="str">
        <f>IFERROR(IF(H54="","",IF(H54-S54-T54=0&lt;0,"Error in Areas ▲",IF(S54+T54&gt;H54,"Error in Areas ▲",IF(AND(P54='G-1 All Habitats'!$X$3,Y54="Yes"),"Alternative Compensation ✓",IF(W54=0,0,IF(P54='G-1 All Habitats'!$X$3,"Any Loss Unacceptable ▲",Q54-U54-V54)))))),"Check Data ▲")</f>
        <v/>
      </c>
      <c r="Y54" s="55"/>
      <c r="Z54" s="62"/>
      <c r="AA54" s="526"/>
      <c r="AB54" s="120"/>
      <c r="AC54" s="726" t="str">
        <f>IF(P54="","",IF(P54='G-1 All Habitats'!$X$3,H54-S54-T54,"None"))</f>
        <v/>
      </c>
      <c r="AD54" s="727" t="str">
        <f>IF(P54="","", IF(P54='G-1 All Habitats'!$X$3, AC54*J54*L54*O54,"None"))</f>
        <v/>
      </c>
      <c r="AF54" s="40" t="str">
        <f t="shared" si="0"/>
        <v/>
      </c>
      <c r="AG54" s="40" t="str">
        <f t="shared" si="1"/>
        <v/>
      </c>
      <c r="AH54" s="40" t="str">
        <f>IF(I54="","",IF(#REF!&gt;0,TRUE,FALSE))</f>
        <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x14ac:dyDescent="0.25">
      <c r="A55" s="35" t="str">
        <f>IFERROR(INDEX('G-1 All Habitats'!$AG$3:$AG$17,MATCH(E55,'G-1 All Habitats'!$AF$3:$AF$17,0)),"")</f>
        <v/>
      </c>
      <c r="B55" s="35" t="str">
        <f>IFERROR(INDEX('G-8 Condition Look up'!$I$4:$I$135,MATCH(G55,'G-8 Condition Look up'!$A$4:$A$135,0)),"")</f>
        <v/>
      </c>
      <c r="D55" s="287">
        <v>45</v>
      </c>
      <c r="E55" s="267"/>
      <c r="F55" s="61"/>
      <c r="G55" s="52" t="str">
        <f>IFERROR(INDEX('G-1 All Habitats'!$B$3:$B$134,MATCH(F55,'G-1 All Habitats'!$A$3:$A$134,0)),"")</f>
        <v/>
      </c>
      <c r="H55" s="53"/>
      <c r="I55" s="362" t="str">
        <f>IF(G55="","",VLOOKUP(G55,'G-1 All Habitats'!$B$2:$M$134,10,FALSE))</f>
        <v/>
      </c>
      <c r="J55" s="363" t="str">
        <f>IFERROR(VLOOKUP(I55,'G-1 All Habitats'!$V$3:$W$7,2,FALSE),"")</f>
        <v/>
      </c>
      <c r="K55" s="54"/>
      <c r="L55" s="363" t="str">
        <f>IFERROR(INDEX('G-8 Condition Look up'!$A$3:$H$135,MATCH(G55,'G-8 Condition Look up'!$A$3:$A$135,0),MATCH(K55,'G-8 Condition Look up'!$A$3:$H$3,0)),"")</f>
        <v/>
      </c>
      <c r="M55" s="54"/>
      <c r="N55" s="382" t="str">
        <f>IF(M55="","",IF(VLOOKUP(M55,'G-3 Multipliers'!$L$3:$N$6,2,FALSE)=0,"Spatial Data Missing",VLOOKUP(M55,'G-3 Multipliers'!$L$3:$N$6,2,FALSE)))</f>
        <v/>
      </c>
      <c r="O55" s="368" t="str">
        <f>IF(M55="","",IF(VLOOKUP(M55,'G-3 Multipliers'!$L$3:$N$6,3,FALSE)=0,"Spatial Data Missing ▲",VLOOKUP(M55,'G-3 Multipliers'!$L$3:$N$6,3,FALSE)))</f>
        <v/>
      </c>
      <c r="P55" s="369" t="str">
        <f>IFERROR(VLOOKUP(G55,'G-1 All Habitats'!$B$2:$M$134,12,FALSE),"")</f>
        <v/>
      </c>
      <c r="Q55" s="376" t="str">
        <f>IFERROR(IF(P55="","",IF(AND(P55='G-1 All Habitats'!$X$3,T55&gt;0),U55+V55,IF(AND(P55='G-1 All Habitats'!$X$3,S55&gt;0),U55+V55,IF(AND(P55='G-1 All Habitats'!$X$3,AC55&gt;0),"Any Loss Unacceptable ⚠",IF(AND(P55='G-1 All Habitats'!$X$3,W55&gt;0),"Any Loss Unacceptable ⚠",H55*J55*L55*O55))))),"Check Data ▲")</f>
        <v/>
      </c>
      <c r="R55" s="38"/>
      <c r="S55" s="54"/>
      <c r="T55" s="55"/>
      <c r="U55" s="374" t="str">
        <f t="shared" si="3"/>
        <v/>
      </c>
      <c r="V55" s="374" t="str">
        <f t="shared" si="4"/>
        <v/>
      </c>
      <c r="W55" s="374" t="str">
        <f>IF(E55="","",IF(H55&lt;S55+T55,"Error in Areas ▲",IF(P55&lt;&gt;'G-1 All Habitats'!$X$3,H55-S55-T55,IF(AND(P55='G-1 All Habitats'!$X$3,Y55="Yes"),"Unacceptable Loss ⚠",IF(AND(P55='G-1 All Habitats'!$X$3,Y55="No"),AC55,IF(AND(P55='G-1 All Habitats'!$X$3,Y55=""),AC55,IF(AND(P55='G-1 All Habitats'!$X$3,AC55="None",AC55),IF(AND(P55='G-1 All Habitats'!$X$3,AC55&gt;0),H55-S55-T55))))))))</f>
        <v/>
      </c>
      <c r="X55" s="378" t="str">
        <f>IFERROR(IF(H55="","",IF(H55-S55-T55=0&lt;0,"Error in Areas ▲",IF(S55+T55&gt;H55,"Error in Areas ▲",IF(AND(P55='G-1 All Habitats'!$X$3,Y55="Yes"),"Alternative Compensation ✓",IF(W55=0,0,IF(P55='G-1 All Habitats'!$X$3,"Any Loss Unacceptable ▲",Q55-U55-V55)))))),"Check Data ▲")</f>
        <v/>
      </c>
      <c r="Y55" s="55"/>
      <c r="Z55" s="62"/>
      <c r="AA55" s="526"/>
      <c r="AB55" s="120"/>
      <c r="AC55" s="726" t="str">
        <f>IF(P55="","",IF(P55='G-1 All Habitats'!$X$3,H55-S55-T55,"None"))</f>
        <v/>
      </c>
      <c r="AD55" s="727" t="str">
        <f>IF(P55="","", IF(P55='G-1 All Habitats'!$X$3, AC55*J55*L55*O55,"None"))</f>
        <v/>
      </c>
      <c r="AF55" s="40" t="str">
        <f t="shared" si="0"/>
        <v/>
      </c>
      <c r="AG55" s="40" t="str">
        <f t="shared" si="1"/>
        <v/>
      </c>
      <c r="AH55" s="40" t="str">
        <f>IF(I55="","",IF(#REF!&gt;0,TRUE,FALSE))</f>
        <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x14ac:dyDescent="0.25">
      <c r="A56" s="35" t="str">
        <f>IFERROR(INDEX('G-1 All Habitats'!$AG$3:$AG$17,MATCH(E56,'G-1 All Habitats'!$AF$3:$AF$17,0)),"")</f>
        <v/>
      </c>
      <c r="B56" s="35" t="str">
        <f>IFERROR(INDEX('G-8 Condition Look up'!$I$4:$I$135,MATCH(G56,'G-8 Condition Look up'!$A$4:$A$135,0)),"")</f>
        <v/>
      </c>
      <c r="D56" s="287">
        <v>46</v>
      </c>
      <c r="E56" s="267"/>
      <c r="F56" s="61"/>
      <c r="G56" s="52" t="str">
        <f>IFERROR(INDEX('G-1 All Habitats'!$B$3:$B$134,MATCH(F56,'G-1 All Habitats'!$A$3:$A$134,0)),"")</f>
        <v/>
      </c>
      <c r="H56" s="53"/>
      <c r="I56" s="362" t="str">
        <f>IF(G56="","",VLOOKUP(G56,'G-1 All Habitats'!$B$2:$M$134,10,FALSE))</f>
        <v/>
      </c>
      <c r="J56" s="363" t="str">
        <f>IFERROR(VLOOKUP(I56,'G-1 All Habitats'!$V$3:$W$7,2,FALSE),"")</f>
        <v/>
      </c>
      <c r="K56" s="54"/>
      <c r="L56" s="363" t="str">
        <f>IFERROR(INDEX('G-8 Condition Look up'!$A$3:$H$135,MATCH(G56,'G-8 Condition Look up'!$A$3:$A$135,0),MATCH(K56,'G-8 Condition Look up'!$A$3:$H$3,0)),"")</f>
        <v/>
      </c>
      <c r="M56" s="54"/>
      <c r="N56" s="382" t="str">
        <f>IF(M56="","",IF(VLOOKUP(M56,'G-3 Multipliers'!$L$3:$N$6,2,FALSE)=0,"Spatial Data Missing",VLOOKUP(M56,'G-3 Multipliers'!$L$3:$N$6,2,FALSE)))</f>
        <v/>
      </c>
      <c r="O56" s="368" t="str">
        <f>IF(M56="","",IF(VLOOKUP(M56,'G-3 Multipliers'!$L$3:$N$6,3,FALSE)=0,"Spatial Data Missing ▲",VLOOKUP(M56,'G-3 Multipliers'!$L$3:$N$6,3,FALSE)))</f>
        <v/>
      </c>
      <c r="P56" s="369" t="str">
        <f>IFERROR(VLOOKUP(G56,'G-1 All Habitats'!$B$2:$M$134,12,FALSE),"")</f>
        <v/>
      </c>
      <c r="Q56" s="376" t="str">
        <f>IFERROR(IF(P56="","",IF(AND(P56='G-1 All Habitats'!$X$3,T56&gt;0),U56+V56,IF(AND(P56='G-1 All Habitats'!$X$3,S56&gt;0),U56+V56,IF(AND(P56='G-1 All Habitats'!$X$3,AC56&gt;0),"Any Loss Unacceptable ⚠",IF(AND(P56='G-1 All Habitats'!$X$3,W56&gt;0),"Any Loss Unacceptable ⚠",H56*J56*L56*O56))))),"Check Data ▲")</f>
        <v/>
      </c>
      <c r="R56" s="38"/>
      <c r="S56" s="54"/>
      <c r="T56" s="55"/>
      <c r="U56" s="374" t="str">
        <f t="shared" si="3"/>
        <v/>
      </c>
      <c r="V56" s="374" t="str">
        <f t="shared" si="4"/>
        <v/>
      </c>
      <c r="W56" s="374" t="str">
        <f>IF(E56="","",IF(H56&lt;S56+T56,"Error in Areas ▲",IF(P56&lt;&gt;'G-1 All Habitats'!$X$3,H56-S56-T56,IF(AND(P56='G-1 All Habitats'!$X$3,Y56="Yes"),"Unacceptable Loss ⚠",IF(AND(P56='G-1 All Habitats'!$X$3,Y56="No"),AC56,IF(AND(P56='G-1 All Habitats'!$X$3,Y56=""),AC56,IF(AND(P56='G-1 All Habitats'!$X$3,AC56="None",AC56),IF(AND(P56='G-1 All Habitats'!$X$3,AC56&gt;0),H56-S56-T56))))))))</f>
        <v/>
      </c>
      <c r="X56" s="378" t="str">
        <f>IFERROR(IF(H56="","",IF(H56-S56-T56=0&lt;0,"Error in Areas ▲",IF(S56+T56&gt;H56,"Error in Areas ▲",IF(AND(P56='G-1 All Habitats'!$X$3,Y56="Yes"),"Alternative Compensation ✓",IF(W56=0,0,IF(P56='G-1 All Habitats'!$X$3,"Any Loss Unacceptable ▲",Q56-U56-V56)))))),"Check Data ▲")</f>
        <v/>
      </c>
      <c r="Y56" s="55"/>
      <c r="Z56" s="62"/>
      <c r="AA56" s="526"/>
      <c r="AB56" s="120"/>
      <c r="AC56" s="726" t="str">
        <f>IF(P56="","",IF(P56='G-1 All Habitats'!$X$3,H56-S56-T56,"None"))</f>
        <v/>
      </c>
      <c r="AD56" s="727" t="str">
        <f>IF(P56="","", IF(P56='G-1 All Habitats'!$X$3, AC56*J56*L56*O56,"None"))</f>
        <v/>
      </c>
      <c r="AF56" s="40" t="str">
        <f t="shared" si="0"/>
        <v/>
      </c>
      <c r="AG56" s="40" t="str">
        <f t="shared" si="1"/>
        <v/>
      </c>
      <c r="AH56" s="40" t="str">
        <f>IF(I56="","",IF(#REF!&gt;0,TRUE,FALSE))</f>
        <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x14ac:dyDescent="0.25">
      <c r="A57" s="35" t="str">
        <f>IFERROR(INDEX('G-1 All Habitats'!$AG$3:$AG$17,MATCH(E57,'G-1 All Habitats'!$AF$3:$AF$17,0)),"")</f>
        <v/>
      </c>
      <c r="B57" s="35" t="str">
        <f>IFERROR(INDEX('G-8 Condition Look up'!$I$4:$I$135,MATCH(G57,'G-8 Condition Look up'!$A$4:$A$135,0)),"")</f>
        <v/>
      </c>
      <c r="D57" s="287">
        <v>47</v>
      </c>
      <c r="E57" s="267"/>
      <c r="F57" s="61"/>
      <c r="G57" s="52" t="str">
        <f>IFERROR(INDEX('G-1 All Habitats'!$B$3:$B$134,MATCH(F57,'G-1 All Habitats'!$A$3:$A$134,0)),"")</f>
        <v/>
      </c>
      <c r="H57" s="53"/>
      <c r="I57" s="362" t="str">
        <f>IF(G57="","",VLOOKUP(G57,'G-1 All Habitats'!$B$2:$M$134,10,FALSE))</f>
        <v/>
      </c>
      <c r="J57" s="363" t="str">
        <f>IFERROR(VLOOKUP(I57,'G-1 All Habitats'!$V$3:$W$7,2,FALSE),"")</f>
        <v/>
      </c>
      <c r="K57" s="54"/>
      <c r="L57" s="363" t="str">
        <f>IFERROR(INDEX('G-8 Condition Look up'!$A$3:$H$135,MATCH(G57,'G-8 Condition Look up'!$A$3:$A$135,0),MATCH(K57,'G-8 Condition Look up'!$A$3:$H$3,0)),"")</f>
        <v/>
      </c>
      <c r="M57" s="54"/>
      <c r="N57" s="382" t="str">
        <f>IF(M57="","",IF(VLOOKUP(M57,'G-3 Multipliers'!$L$3:$N$6,2,FALSE)=0,"Spatial Data Missing",VLOOKUP(M57,'G-3 Multipliers'!$L$3:$N$6,2,FALSE)))</f>
        <v/>
      </c>
      <c r="O57" s="368" t="str">
        <f>IF(M57="","",IF(VLOOKUP(M57,'G-3 Multipliers'!$L$3:$N$6,3,FALSE)=0,"Spatial Data Missing ▲",VLOOKUP(M57,'G-3 Multipliers'!$L$3:$N$6,3,FALSE)))</f>
        <v/>
      </c>
      <c r="P57" s="369" t="str">
        <f>IFERROR(VLOOKUP(G57,'G-1 All Habitats'!$B$2:$M$134,12,FALSE),"")</f>
        <v/>
      </c>
      <c r="Q57" s="376" t="str">
        <f>IFERROR(IF(P57="","",IF(AND(P57='G-1 All Habitats'!$X$3,T57&gt;0),U57+V57,IF(AND(P57='G-1 All Habitats'!$X$3,S57&gt;0),U57+V57,IF(AND(P57='G-1 All Habitats'!$X$3,AC57&gt;0),"Any Loss Unacceptable ⚠",IF(AND(P57='G-1 All Habitats'!$X$3,W57&gt;0),"Any Loss Unacceptable ⚠",H57*J57*L57*O57))))),"Check Data ▲")</f>
        <v/>
      </c>
      <c r="R57" s="38"/>
      <c r="S57" s="54"/>
      <c r="T57" s="55"/>
      <c r="U57" s="374" t="str">
        <f t="shared" si="3"/>
        <v/>
      </c>
      <c r="V57" s="374" t="str">
        <f t="shared" si="4"/>
        <v/>
      </c>
      <c r="W57" s="374" t="str">
        <f>IF(E57="","",IF(H57&lt;S57+T57,"Error in Areas ▲",IF(P57&lt;&gt;'G-1 All Habitats'!$X$3,H57-S57-T57,IF(AND(P57='G-1 All Habitats'!$X$3,Y57="Yes"),"Unacceptable Loss ⚠",IF(AND(P57='G-1 All Habitats'!$X$3,Y57="No"),AC57,IF(AND(P57='G-1 All Habitats'!$X$3,Y57=""),AC57,IF(AND(P57='G-1 All Habitats'!$X$3,AC57="None",AC57),IF(AND(P57='G-1 All Habitats'!$X$3,AC57&gt;0),H57-S57-T57))))))))</f>
        <v/>
      </c>
      <c r="X57" s="378" t="str">
        <f>IFERROR(IF(H57="","",IF(H57-S57-T57=0&lt;0,"Error in Areas ▲",IF(S57+T57&gt;H57,"Error in Areas ▲",IF(AND(P57='G-1 All Habitats'!$X$3,Y57="Yes"),"Alternative Compensation ✓",IF(W57=0,0,IF(P57='G-1 All Habitats'!$X$3,"Any Loss Unacceptable ▲",Q57-U57-V57)))))),"Check Data ▲")</f>
        <v/>
      </c>
      <c r="Y57" s="55"/>
      <c r="Z57" s="62"/>
      <c r="AA57" s="526"/>
      <c r="AB57" s="120"/>
      <c r="AC57" s="726" t="str">
        <f>IF(P57="","",IF(P57='G-1 All Habitats'!$X$3,H57-S57-T57,"None"))</f>
        <v/>
      </c>
      <c r="AD57" s="727" t="str">
        <f>IF(P57="","", IF(P57='G-1 All Habitats'!$X$3, AC57*J57*L57*O57,"None"))</f>
        <v/>
      </c>
      <c r="AF57" s="40" t="str">
        <f t="shared" si="0"/>
        <v/>
      </c>
      <c r="AG57" s="40" t="str">
        <f t="shared" si="1"/>
        <v/>
      </c>
      <c r="AH57" s="40" t="str">
        <f>IF(I57="","",IF(#REF!&gt;0,TRUE,FALSE))</f>
        <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x14ac:dyDescent="0.25">
      <c r="A58" s="35" t="str">
        <f>IFERROR(INDEX('G-1 All Habitats'!$AG$3:$AG$17,MATCH(E58,'G-1 All Habitats'!$AF$3:$AF$17,0)),"")</f>
        <v/>
      </c>
      <c r="B58" s="35" t="str">
        <f>IFERROR(INDEX('G-8 Condition Look up'!$I$4:$I$135,MATCH(G58,'G-8 Condition Look up'!$A$4:$A$135,0)),"")</f>
        <v/>
      </c>
      <c r="D58" s="287">
        <v>48</v>
      </c>
      <c r="E58" s="267"/>
      <c r="F58" s="61"/>
      <c r="G58" s="52" t="str">
        <f>IFERROR(INDEX('G-1 All Habitats'!$B$3:$B$134,MATCH(F58,'G-1 All Habitats'!$A$3:$A$134,0)),"")</f>
        <v/>
      </c>
      <c r="H58" s="53"/>
      <c r="I58" s="362" t="str">
        <f>IF(G58="","",VLOOKUP(G58,'G-1 All Habitats'!$B$2:$M$134,10,FALSE))</f>
        <v/>
      </c>
      <c r="J58" s="363" t="str">
        <f>IFERROR(VLOOKUP(I58,'G-1 All Habitats'!$V$3:$W$7,2,FALSE),"")</f>
        <v/>
      </c>
      <c r="K58" s="54"/>
      <c r="L58" s="363" t="str">
        <f>IFERROR(INDEX('G-8 Condition Look up'!$A$3:$H$135,MATCH(G58,'G-8 Condition Look up'!$A$3:$A$135,0),MATCH(K58,'G-8 Condition Look up'!$A$3:$H$3,0)),"")</f>
        <v/>
      </c>
      <c r="M58" s="54"/>
      <c r="N58" s="382" t="str">
        <f>IF(M58="","",IF(VLOOKUP(M58,'G-3 Multipliers'!$L$3:$N$6,2,FALSE)=0,"Spatial Data Missing",VLOOKUP(M58,'G-3 Multipliers'!$L$3:$N$6,2,FALSE)))</f>
        <v/>
      </c>
      <c r="O58" s="368" t="str">
        <f>IF(M58="","",IF(VLOOKUP(M58,'G-3 Multipliers'!$L$3:$N$6,3,FALSE)=0,"Spatial Data Missing ▲",VLOOKUP(M58,'G-3 Multipliers'!$L$3:$N$6,3,FALSE)))</f>
        <v/>
      </c>
      <c r="P58" s="369" t="str">
        <f>IFERROR(VLOOKUP(G58,'G-1 All Habitats'!$B$2:$M$134,12,FALSE),"")</f>
        <v/>
      </c>
      <c r="Q58" s="376" t="str">
        <f>IFERROR(IF(P58="","",IF(AND(P58='G-1 All Habitats'!$X$3,T58&gt;0),U58+V58,IF(AND(P58='G-1 All Habitats'!$X$3,S58&gt;0),U58+V58,IF(AND(P58='G-1 All Habitats'!$X$3,AC58&gt;0),"Any Loss Unacceptable ⚠",IF(AND(P58='G-1 All Habitats'!$X$3,W58&gt;0),"Any Loss Unacceptable ⚠",H58*J58*L58*O58))))),"Check Data ▲")</f>
        <v/>
      </c>
      <c r="R58" s="38"/>
      <c r="S58" s="54"/>
      <c r="T58" s="55"/>
      <c r="U58" s="374" t="str">
        <f t="shared" si="3"/>
        <v/>
      </c>
      <c r="V58" s="374" t="str">
        <f t="shared" si="4"/>
        <v/>
      </c>
      <c r="W58" s="374" t="str">
        <f>IF(E58="","",IF(H58&lt;S58+T58,"Error in Areas ▲",IF(P58&lt;&gt;'G-1 All Habitats'!$X$3,H58-S58-T58,IF(AND(P58='G-1 All Habitats'!$X$3,Y58="Yes"),"Unacceptable Loss ⚠",IF(AND(P58='G-1 All Habitats'!$X$3,Y58="No"),AC58,IF(AND(P58='G-1 All Habitats'!$X$3,Y58=""),AC58,IF(AND(P58='G-1 All Habitats'!$X$3,AC58="None",AC58),IF(AND(P58='G-1 All Habitats'!$X$3,AC58&gt;0),H58-S58-T58))))))))</f>
        <v/>
      </c>
      <c r="X58" s="378" t="str">
        <f>IFERROR(IF(H58="","",IF(H58-S58-T58=0&lt;0,"Error in Areas ▲",IF(S58+T58&gt;H58,"Error in Areas ▲",IF(AND(P58='G-1 All Habitats'!$X$3,Y58="Yes"),"Alternative Compensation ✓",IF(W58=0,0,IF(P58='G-1 All Habitats'!$X$3,"Any Loss Unacceptable ▲",Q58-U58-V58)))))),"Check Data ▲")</f>
        <v/>
      </c>
      <c r="Y58" s="55"/>
      <c r="Z58" s="62"/>
      <c r="AA58" s="526"/>
      <c r="AB58" s="120"/>
      <c r="AC58" s="726" t="str">
        <f>IF(P58="","",IF(P58='G-1 All Habitats'!$X$3,H58-S58-T58,"None"))</f>
        <v/>
      </c>
      <c r="AD58" s="727" t="str">
        <f>IF(P58="","", IF(P58='G-1 All Habitats'!$X$3, AC58*J58*L58*O58,"None"))</f>
        <v/>
      </c>
      <c r="AF58" s="40" t="str">
        <f t="shared" si="0"/>
        <v/>
      </c>
      <c r="AG58" s="40" t="str">
        <f t="shared" si="1"/>
        <v/>
      </c>
      <c r="AH58" s="40" t="str">
        <f>IF(I58="","",IF(#REF!&gt;0,TRUE,FALSE))</f>
        <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x14ac:dyDescent="0.25">
      <c r="A59" s="35" t="str">
        <f>IFERROR(INDEX('G-1 All Habitats'!$AG$3:$AG$17,MATCH(E59,'G-1 All Habitats'!$AF$3:$AF$17,0)),"")</f>
        <v/>
      </c>
      <c r="B59" s="35" t="str">
        <f>IFERROR(INDEX('G-8 Condition Look up'!$I$4:$I$135,MATCH(G59,'G-8 Condition Look up'!$A$4:$A$135,0)),"")</f>
        <v/>
      </c>
      <c r="D59" s="287">
        <v>49</v>
      </c>
      <c r="E59" s="267"/>
      <c r="F59" s="61"/>
      <c r="G59" s="52" t="str">
        <f>IFERROR(INDEX('G-1 All Habitats'!$B$3:$B$134,MATCH(F59,'G-1 All Habitats'!$A$3:$A$134,0)),"")</f>
        <v/>
      </c>
      <c r="H59" s="53"/>
      <c r="I59" s="362" t="str">
        <f>IF(G59="","",VLOOKUP(G59,'G-1 All Habitats'!$B$2:$M$134,10,FALSE))</f>
        <v/>
      </c>
      <c r="J59" s="363" t="str">
        <f>IFERROR(VLOOKUP(I59,'G-1 All Habitats'!$V$3:$W$7,2,FALSE),"")</f>
        <v/>
      </c>
      <c r="K59" s="54"/>
      <c r="L59" s="363" t="str">
        <f>IFERROR(INDEX('G-8 Condition Look up'!$A$3:$H$135,MATCH(G59,'G-8 Condition Look up'!$A$3:$A$135,0),MATCH(K59,'G-8 Condition Look up'!$A$3:$H$3,0)),"")</f>
        <v/>
      </c>
      <c r="M59" s="54"/>
      <c r="N59" s="382" t="str">
        <f>IF(M59="","",IF(VLOOKUP(M59,'G-3 Multipliers'!$L$3:$N$6,2,FALSE)=0,"Spatial Data Missing",VLOOKUP(M59,'G-3 Multipliers'!$L$3:$N$6,2,FALSE)))</f>
        <v/>
      </c>
      <c r="O59" s="368" t="str">
        <f>IF(M59="","",IF(VLOOKUP(M59,'G-3 Multipliers'!$L$3:$N$6,3,FALSE)=0,"Spatial Data Missing ▲",VLOOKUP(M59,'G-3 Multipliers'!$L$3:$N$6,3,FALSE)))</f>
        <v/>
      </c>
      <c r="P59" s="369" t="str">
        <f>IFERROR(VLOOKUP(G59,'G-1 All Habitats'!$B$2:$M$134,12,FALSE),"")</f>
        <v/>
      </c>
      <c r="Q59" s="376" t="str">
        <f>IFERROR(IF(P59="","",IF(AND(P59='G-1 All Habitats'!$X$3,T59&gt;0),U59+V59,IF(AND(P59='G-1 All Habitats'!$X$3,S59&gt;0),U59+V59,IF(AND(P59='G-1 All Habitats'!$X$3,AC59&gt;0),"Any Loss Unacceptable ⚠",IF(AND(P59='G-1 All Habitats'!$X$3,W59&gt;0),"Any Loss Unacceptable ⚠",H59*J59*L59*O59))))),"Check Data ▲")</f>
        <v/>
      </c>
      <c r="R59" s="38"/>
      <c r="S59" s="54"/>
      <c r="T59" s="55"/>
      <c r="U59" s="374" t="str">
        <f t="shared" si="3"/>
        <v/>
      </c>
      <c r="V59" s="374" t="str">
        <f t="shared" si="4"/>
        <v/>
      </c>
      <c r="W59" s="374" t="str">
        <f>IF(E59="","",IF(H59&lt;S59+T59,"Error in Areas ▲",IF(P59&lt;&gt;'G-1 All Habitats'!$X$3,H59-S59-T59,IF(AND(P59='G-1 All Habitats'!$X$3,Y59="Yes"),"Unacceptable Loss ⚠",IF(AND(P59='G-1 All Habitats'!$X$3,Y59="No"),AC59,IF(AND(P59='G-1 All Habitats'!$X$3,Y59=""),AC59,IF(AND(P59='G-1 All Habitats'!$X$3,AC59="None",AC59),IF(AND(P59='G-1 All Habitats'!$X$3,AC59&gt;0),H59-S59-T59))))))))</f>
        <v/>
      </c>
      <c r="X59" s="378" t="str">
        <f>IFERROR(IF(H59="","",IF(H59-S59-T59=0&lt;0,"Error in Areas ▲",IF(S59+T59&gt;H59,"Error in Areas ▲",IF(AND(P59='G-1 All Habitats'!$X$3,Y59="Yes"),"Alternative Compensation ✓",IF(W59=0,0,IF(P59='G-1 All Habitats'!$X$3,"Any Loss Unacceptable ▲",Q59-U59-V59)))))),"Check Data ▲")</f>
        <v/>
      </c>
      <c r="Y59" s="55"/>
      <c r="Z59" s="62"/>
      <c r="AA59" s="526"/>
      <c r="AB59" s="120"/>
      <c r="AC59" s="726" t="str">
        <f>IF(P59="","",IF(P59='G-1 All Habitats'!$X$3,H59-S59-T59,"None"))</f>
        <v/>
      </c>
      <c r="AD59" s="727" t="str">
        <f>IF(P59="","", IF(P59='G-1 All Habitats'!$X$3, AC59*J59*L59*O59,"None"))</f>
        <v/>
      </c>
      <c r="AF59" s="40" t="str">
        <f t="shared" si="0"/>
        <v/>
      </c>
      <c r="AG59" s="40" t="str">
        <f t="shared" si="1"/>
        <v/>
      </c>
      <c r="AH59" s="40" t="str">
        <f>IF(I59="","",IF(#REF!&gt;0,TRUE,FALSE))</f>
        <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x14ac:dyDescent="0.25">
      <c r="A60" s="35" t="str">
        <f>IFERROR(INDEX('G-1 All Habitats'!$AG$3:$AG$17,MATCH(E60,'G-1 All Habitats'!$AF$3:$AF$17,0)),"")</f>
        <v/>
      </c>
      <c r="B60" s="35" t="str">
        <f>IFERROR(INDEX('G-8 Condition Look up'!$I$4:$I$135,MATCH(G60,'G-8 Condition Look up'!$A$4:$A$135,0)),"")</f>
        <v/>
      </c>
      <c r="D60" s="287">
        <v>50</v>
      </c>
      <c r="E60" s="267"/>
      <c r="F60" s="61"/>
      <c r="G60" s="52" t="str">
        <f>IFERROR(INDEX('G-1 All Habitats'!$B$3:$B$134,MATCH(F60,'G-1 All Habitats'!$A$3:$A$134,0)),"")</f>
        <v/>
      </c>
      <c r="H60" s="53"/>
      <c r="I60" s="362" t="str">
        <f>IF(G60="","",VLOOKUP(G60,'G-1 All Habitats'!$B$2:$M$134,10,FALSE))</f>
        <v/>
      </c>
      <c r="J60" s="363" t="str">
        <f>IFERROR(VLOOKUP(I60,'G-1 All Habitats'!$V$3:$W$7,2,FALSE),"")</f>
        <v/>
      </c>
      <c r="K60" s="54"/>
      <c r="L60" s="363" t="str">
        <f>IFERROR(INDEX('G-8 Condition Look up'!$A$3:$H$135,MATCH(G60,'G-8 Condition Look up'!$A$3:$A$135,0),MATCH(K60,'G-8 Condition Look up'!$A$3:$H$3,0)),"")</f>
        <v/>
      </c>
      <c r="M60" s="54"/>
      <c r="N60" s="382" t="str">
        <f>IF(M60="","",IF(VLOOKUP(M60,'G-3 Multipliers'!$L$3:$N$6,2,FALSE)=0,"Spatial Data Missing",VLOOKUP(M60,'G-3 Multipliers'!$L$3:$N$6,2,FALSE)))</f>
        <v/>
      </c>
      <c r="O60" s="368" t="str">
        <f>IF(M60="","",IF(VLOOKUP(M60,'G-3 Multipliers'!$L$3:$N$6,3,FALSE)=0,"Spatial Data Missing ▲",VLOOKUP(M60,'G-3 Multipliers'!$L$3:$N$6,3,FALSE)))</f>
        <v/>
      </c>
      <c r="P60" s="369" t="str">
        <f>IFERROR(VLOOKUP(G60,'G-1 All Habitats'!$B$2:$M$134,12,FALSE),"")</f>
        <v/>
      </c>
      <c r="Q60" s="376" t="str">
        <f>IFERROR(IF(P60="","",IF(AND(P60='G-1 All Habitats'!$X$3,T60&gt;0),U60+V60,IF(AND(P60='G-1 All Habitats'!$X$3,S60&gt;0),U60+V60,IF(AND(P60='G-1 All Habitats'!$X$3,AC60&gt;0),"Any Loss Unacceptable ⚠",IF(AND(P60='G-1 All Habitats'!$X$3,W60&gt;0),"Any Loss Unacceptable ⚠",H60*J60*L60*O60))))),"Check Data ▲")</f>
        <v/>
      </c>
      <c r="R60" s="38"/>
      <c r="S60" s="54"/>
      <c r="T60" s="55"/>
      <c r="U60" s="374" t="str">
        <f t="shared" si="3"/>
        <v/>
      </c>
      <c r="V60" s="374" t="str">
        <f t="shared" si="4"/>
        <v/>
      </c>
      <c r="W60" s="374" t="str">
        <f>IF(E60="","",IF(H60&lt;S60+T60,"Error in Areas ▲",IF(P60&lt;&gt;'G-1 All Habitats'!$X$3,H60-S60-T60,IF(AND(P60='G-1 All Habitats'!$X$3,Y60="Yes"),"Unacceptable Loss ⚠",IF(AND(P60='G-1 All Habitats'!$X$3,Y60="No"),AC60,IF(AND(P60='G-1 All Habitats'!$X$3,Y60=""),AC60,IF(AND(P60='G-1 All Habitats'!$X$3,AC60="None",AC60),IF(AND(P60='G-1 All Habitats'!$X$3,AC60&gt;0),H60-S60-T60))))))))</f>
        <v/>
      </c>
      <c r="X60" s="378" t="str">
        <f>IFERROR(IF(H60="","",IF(H60-S60-T60=0&lt;0,"Error in Areas ▲",IF(S60+T60&gt;H60,"Error in Areas ▲",IF(AND(P60='G-1 All Habitats'!$X$3,Y60="Yes"),"Alternative Compensation ✓",IF(W60=0,0,IF(P60='G-1 All Habitats'!$X$3,"Any Loss Unacceptable ▲",Q60-U60-V60)))))),"Check Data ▲")</f>
        <v/>
      </c>
      <c r="Y60" s="55"/>
      <c r="Z60" s="62"/>
      <c r="AA60" s="526"/>
      <c r="AB60" s="120"/>
      <c r="AC60" s="726" t="str">
        <f>IF(P60="","",IF(P60='G-1 All Habitats'!$X$3,H60-S60-T60,"None"))</f>
        <v/>
      </c>
      <c r="AD60" s="727" t="str">
        <f>IF(P60="","", IF(P60='G-1 All Habitats'!$X$3, AC60*J60*L60*O60,"None"))</f>
        <v/>
      </c>
      <c r="AF60" s="40" t="str">
        <f t="shared" si="0"/>
        <v/>
      </c>
      <c r="AG60" s="40" t="str">
        <f t="shared" si="1"/>
        <v/>
      </c>
      <c r="AH60" s="40" t="str">
        <f>IF(I60="","",IF(#REF!&gt;0,TRUE,FALSE))</f>
        <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x14ac:dyDescent="0.25">
      <c r="A61" s="35" t="str">
        <f>IFERROR(INDEX('G-1 All Habitats'!$AG$3:$AG$17,MATCH(E61,'G-1 All Habitats'!$AF$3:$AF$17,0)),"")</f>
        <v/>
      </c>
      <c r="B61" s="35" t="str">
        <f>IFERROR(INDEX('G-8 Condition Look up'!$I$4:$I$135,MATCH(G61,'G-8 Condition Look up'!$A$4:$A$135,0)),"")</f>
        <v/>
      </c>
      <c r="D61" s="287">
        <v>51</v>
      </c>
      <c r="E61" s="267"/>
      <c r="F61" s="61"/>
      <c r="G61" s="52" t="str">
        <f>IFERROR(INDEX('G-1 All Habitats'!$B$3:$B$134,MATCH(F61,'G-1 All Habitats'!$A$3:$A$134,0)),"")</f>
        <v/>
      </c>
      <c r="H61" s="53"/>
      <c r="I61" s="362" t="str">
        <f>IF(G61="","",VLOOKUP(G61,'G-1 All Habitats'!$B$2:$M$134,10,FALSE))</f>
        <v/>
      </c>
      <c r="J61" s="363" t="str">
        <f>IFERROR(VLOOKUP(I61,'G-1 All Habitats'!$V$3:$W$7,2,FALSE),"")</f>
        <v/>
      </c>
      <c r="K61" s="54"/>
      <c r="L61" s="363" t="str">
        <f>IFERROR(INDEX('G-8 Condition Look up'!$A$3:$H$135,MATCH(G61,'G-8 Condition Look up'!$A$3:$A$135,0),MATCH(K61,'G-8 Condition Look up'!$A$3:$H$3,0)),"")</f>
        <v/>
      </c>
      <c r="M61" s="54"/>
      <c r="N61" s="382" t="str">
        <f>IF(M61="","",IF(VLOOKUP(M61,'G-3 Multipliers'!$L$3:$N$6,2,FALSE)=0,"Spatial Data Missing",VLOOKUP(M61,'G-3 Multipliers'!$L$3:$N$6,2,FALSE)))</f>
        <v/>
      </c>
      <c r="O61" s="368" t="str">
        <f>IF(M61="","",IF(VLOOKUP(M61,'G-3 Multipliers'!$L$3:$N$6,3,FALSE)=0,"Spatial Data Missing ▲",VLOOKUP(M61,'G-3 Multipliers'!$L$3:$N$6,3,FALSE)))</f>
        <v/>
      </c>
      <c r="P61" s="369" t="str">
        <f>IFERROR(VLOOKUP(G61,'G-1 All Habitats'!$B$2:$M$134,12,FALSE),"")</f>
        <v/>
      </c>
      <c r="Q61" s="376" t="str">
        <f>IFERROR(IF(P61="","",IF(AND(P61='G-1 All Habitats'!$X$3,T61&gt;0),U61+V61,IF(AND(P61='G-1 All Habitats'!$X$3,S61&gt;0),U61+V61,IF(AND(P61='G-1 All Habitats'!$X$3,AC61&gt;0),"Any Loss Unacceptable ⚠",IF(AND(P61='G-1 All Habitats'!$X$3,W61&gt;0),"Any Loss Unacceptable ⚠",H61*J61*L61*O61))))),"Check Data ▲")</f>
        <v/>
      </c>
      <c r="R61" s="38"/>
      <c r="S61" s="54"/>
      <c r="T61" s="55"/>
      <c r="U61" s="374" t="str">
        <f t="shared" si="3"/>
        <v/>
      </c>
      <c r="V61" s="374" t="str">
        <f t="shared" si="4"/>
        <v/>
      </c>
      <c r="W61" s="374" t="str">
        <f>IF(E61="","",IF(H61&lt;S61+T61,"Error in Areas ▲",IF(P61&lt;&gt;'G-1 All Habitats'!$X$3,H61-S61-T61,IF(AND(P61='G-1 All Habitats'!$X$3,Y61="Yes"),"Unacceptable Loss ⚠",IF(AND(P61='G-1 All Habitats'!$X$3,Y61="No"),AC61,IF(AND(P61='G-1 All Habitats'!$X$3,Y61=""),AC61,IF(AND(P61='G-1 All Habitats'!$X$3,AC61="None",AC61),IF(AND(P61='G-1 All Habitats'!$X$3,AC61&gt;0),H61-S61-T61))))))))</f>
        <v/>
      </c>
      <c r="X61" s="378" t="str">
        <f>IFERROR(IF(H61="","",IF(H61-S61-T61=0&lt;0,"Error in Areas ▲",IF(S61+T61&gt;H61,"Error in Areas ▲",IF(AND(P61='G-1 All Habitats'!$X$3,Y61="Yes"),"Alternative Compensation ✓",IF(W61=0,0,IF(P61='G-1 All Habitats'!$X$3,"Any Loss Unacceptable ▲",Q61-U61-V61)))))),"Check Data ▲")</f>
        <v/>
      </c>
      <c r="Y61" s="55"/>
      <c r="Z61" s="62"/>
      <c r="AA61" s="526"/>
      <c r="AB61" s="120"/>
      <c r="AC61" s="726" t="str">
        <f>IF(P61="","",IF(P61='G-1 All Habitats'!$X$3,H61-S61-T61,"None"))</f>
        <v/>
      </c>
      <c r="AD61" s="727" t="str">
        <f>IF(P61="","", IF(P61='G-1 All Habitats'!$X$3, AC61*J61*L61*O61,"None"))</f>
        <v/>
      </c>
      <c r="AF61" s="40" t="str">
        <f t="shared" si="0"/>
        <v/>
      </c>
      <c r="AG61" s="40" t="str">
        <f t="shared" si="1"/>
        <v/>
      </c>
      <c r="AH61" s="40" t="str">
        <f>IF(I61="","",IF(#REF!&gt;0,TRUE,FALSE))</f>
        <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x14ac:dyDescent="0.25">
      <c r="A62" s="35" t="str">
        <f>IFERROR(INDEX('G-1 All Habitats'!$AG$3:$AG$17,MATCH(E62,'G-1 All Habitats'!$AF$3:$AF$17,0)),"")</f>
        <v/>
      </c>
      <c r="B62" s="35" t="str">
        <f>IFERROR(INDEX('G-8 Condition Look up'!$I$4:$I$135,MATCH(G62,'G-8 Condition Look up'!$A$4:$A$135,0)),"")</f>
        <v/>
      </c>
      <c r="D62" s="287">
        <v>52</v>
      </c>
      <c r="E62" s="267"/>
      <c r="F62" s="61"/>
      <c r="G62" s="52" t="str">
        <f>IFERROR(INDEX('G-1 All Habitats'!$B$3:$B$134,MATCH(F62,'G-1 All Habitats'!$A$3:$A$134,0)),"")</f>
        <v/>
      </c>
      <c r="H62" s="53"/>
      <c r="I62" s="362" t="str">
        <f>IF(G62="","",VLOOKUP(G62,'G-1 All Habitats'!$B$2:$M$134,10,FALSE))</f>
        <v/>
      </c>
      <c r="J62" s="363" t="str">
        <f>IFERROR(VLOOKUP(I62,'G-1 All Habitats'!$V$3:$W$7,2,FALSE),"")</f>
        <v/>
      </c>
      <c r="K62" s="54"/>
      <c r="L62" s="363" t="str">
        <f>IFERROR(INDEX('G-8 Condition Look up'!$A$3:$H$135,MATCH(G62,'G-8 Condition Look up'!$A$3:$A$135,0),MATCH(K62,'G-8 Condition Look up'!$A$3:$H$3,0)),"")</f>
        <v/>
      </c>
      <c r="M62" s="54"/>
      <c r="N62" s="382" t="str">
        <f>IF(M62="","",IF(VLOOKUP(M62,'G-3 Multipliers'!$L$3:$N$6,2,FALSE)=0,"Spatial Data Missing",VLOOKUP(M62,'G-3 Multipliers'!$L$3:$N$6,2,FALSE)))</f>
        <v/>
      </c>
      <c r="O62" s="368" t="str">
        <f>IF(M62="","",IF(VLOOKUP(M62,'G-3 Multipliers'!$L$3:$N$6,3,FALSE)=0,"Spatial Data Missing ▲",VLOOKUP(M62,'G-3 Multipliers'!$L$3:$N$6,3,FALSE)))</f>
        <v/>
      </c>
      <c r="P62" s="369" t="str">
        <f>IFERROR(VLOOKUP(G62,'G-1 All Habitats'!$B$2:$M$134,12,FALSE),"")</f>
        <v/>
      </c>
      <c r="Q62" s="376" t="str">
        <f>IFERROR(IF(P62="","",IF(AND(P62='G-1 All Habitats'!$X$3,T62&gt;0),U62+V62,IF(AND(P62='G-1 All Habitats'!$X$3,S62&gt;0),U62+V62,IF(AND(P62='G-1 All Habitats'!$X$3,AC62&gt;0),"Any Loss Unacceptable ⚠",IF(AND(P62='G-1 All Habitats'!$X$3,W62&gt;0),"Any Loss Unacceptable ⚠",H62*J62*L62*O62))))),"Check Data ▲")</f>
        <v/>
      </c>
      <c r="R62" s="38"/>
      <c r="S62" s="54"/>
      <c r="T62" s="55"/>
      <c r="U62" s="374" t="str">
        <f t="shared" si="3"/>
        <v/>
      </c>
      <c r="V62" s="374" t="str">
        <f t="shared" si="4"/>
        <v/>
      </c>
      <c r="W62" s="374" t="str">
        <f>IF(E62="","",IF(H62&lt;S62+T62,"Error in Areas ▲",IF(P62&lt;&gt;'G-1 All Habitats'!$X$3,H62-S62-T62,IF(AND(P62='G-1 All Habitats'!$X$3,Y62="Yes"),"Unacceptable Loss ⚠",IF(AND(P62='G-1 All Habitats'!$X$3,Y62="No"),AC62,IF(AND(P62='G-1 All Habitats'!$X$3,Y62=""),AC62,IF(AND(P62='G-1 All Habitats'!$X$3,AC62="None",AC62),IF(AND(P62='G-1 All Habitats'!$X$3,AC62&gt;0),H62-S62-T62))))))))</f>
        <v/>
      </c>
      <c r="X62" s="378" t="str">
        <f>IFERROR(IF(H62="","",IF(H62-S62-T62=0&lt;0,"Error in Areas ▲",IF(S62+T62&gt;H62,"Error in Areas ▲",IF(AND(P62='G-1 All Habitats'!$X$3,Y62="Yes"),"Alternative Compensation ✓",IF(W62=0,0,IF(P62='G-1 All Habitats'!$X$3,"Any Loss Unacceptable ▲",Q62-U62-V62)))))),"Check Data ▲")</f>
        <v/>
      </c>
      <c r="Y62" s="55"/>
      <c r="Z62" s="62"/>
      <c r="AA62" s="526"/>
      <c r="AB62" s="120"/>
      <c r="AC62" s="726" t="str">
        <f>IF(P62="","",IF(P62='G-1 All Habitats'!$X$3,H62-S62-T62,"None"))</f>
        <v/>
      </c>
      <c r="AD62" s="727" t="str">
        <f>IF(P62="","", IF(P62='G-1 All Habitats'!$X$3, AC62*J62*L62*O62,"None"))</f>
        <v/>
      </c>
      <c r="AF62" s="40" t="str">
        <f t="shared" si="0"/>
        <v/>
      </c>
      <c r="AG62" s="40" t="str">
        <f t="shared" si="1"/>
        <v/>
      </c>
      <c r="AH62" s="40" t="str">
        <f>IF(I62="","",IF(#REF!&gt;0,TRUE,FALSE))</f>
        <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x14ac:dyDescent="0.25">
      <c r="A63" s="35" t="str">
        <f>IFERROR(INDEX('G-1 All Habitats'!$AG$3:$AG$17,MATCH(E63,'G-1 All Habitats'!$AF$3:$AF$17,0)),"")</f>
        <v/>
      </c>
      <c r="B63" s="35" t="str">
        <f>IFERROR(INDEX('G-8 Condition Look up'!$I$4:$I$135,MATCH(G63,'G-8 Condition Look up'!$A$4:$A$135,0)),"")</f>
        <v/>
      </c>
      <c r="D63" s="287">
        <v>53</v>
      </c>
      <c r="E63" s="267"/>
      <c r="F63" s="61"/>
      <c r="G63" s="52" t="str">
        <f>IFERROR(INDEX('G-1 All Habitats'!$B$3:$B$134,MATCH(F63,'G-1 All Habitats'!$A$3:$A$134,0)),"")</f>
        <v/>
      </c>
      <c r="H63" s="53"/>
      <c r="I63" s="362" t="str">
        <f>IF(G63="","",VLOOKUP(G63,'G-1 All Habitats'!$B$2:$M$134,10,FALSE))</f>
        <v/>
      </c>
      <c r="J63" s="363" t="str">
        <f>IFERROR(VLOOKUP(I63,'G-1 All Habitats'!$V$3:$W$7,2,FALSE),"")</f>
        <v/>
      </c>
      <c r="K63" s="54"/>
      <c r="L63" s="363" t="str">
        <f>IFERROR(INDEX('G-8 Condition Look up'!$A$3:$H$135,MATCH(G63,'G-8 Condition Look up'!$A$3:$A$135,0),MATCH(K63,'G-8 Condition Look up'!$A$3:$H$3,0)),"")</f>
        <v/>
      </c>
      <c r="M63" s="54"/>
      <c r="N63" s="382" t="str">
        <f>IF(M63="","",IF(VLOOKUP(M63,'G-3 Multipliers'!$L$3:$N$6,2,FALSE)=0,"Spatial Data Missing",VLOOKUP(M63,'G-3 Multipliers'!$L$3:$N$6,2,FALSE)))</f>
        <v/>
      </c>
      <c r="O63" s="368" t="str">
        <f>IF(M63="","",IF(VLOOKUP(M63,'G-3 Multipliers'!$L$3:$N$6,3,FALSE)=0,"Spatial Data Missing ▲",VLOOKUP(M63,'G-3 Multipliers'!$L$3:$N$6,3,FALSE)))</f>
        <v/>
      </c>
      <c r="P63" s="369" t="str">
        <f>IFERROR(VLOOKUP(G63,'G-1 All Habitats'!$B$2:$M$134,12,FALSE),"")</f>
        <v/>
      </c>
      <c r="Q63" s="376" t="str">
        <f>IFERROR(IF(P63="","",IF(AND(P63='G-1 All Habitats'!$X$3,T63&gt;0),U63+V63,IF(AND(P63='G-1 All Habitats'!$X$3,S63&gt;0),U63+V63,IF(AND(P63='G-1 All Habitats'!$X$3,AC63&gt;0),"Any Loss Unacceptable ⚠",IF(AND(P63='G-1 All Habitats'!$X$3,W63&gt;0),"Any Loss Unacceptable ⚠",H63*J63*L63*O63))))),"Check Data ▲")</f>
        <v/>
      </c>
      <c r="R63" s="38"/>
      <c r="S63" s="54"/>
      <c r="T63" s="55"/>
      <c r="U63" s="374" t="str">
        <f t="shared" si="3"/>
        <v/>
      </c>
      <c r="V63" s="374" t="str">
        <f t="shared" si="4"/>
        <v/>
      </c>
      <c r="W63" s="374" t="str">
        <f>IF(E63="","",IF(H63&lt;S63+T63,"Error in Areas ▲",IF(P63&lt;&gt;'G-1 All Habitats'!$X$3,H63-S63-T63,IF(AND(P63='G-1 All Habitats'!$X$3,Y63="Yes"),"Unacceptable Loss ⚠",IF(AND(P63='G-1 All Habitats'!$X$3,Y63="No"),AC63,IF(AND(P63='G-1 All Habitats'!$X$3,Y63=""),AC63,IF(AND(P63='G-1 All Habitats'!$X$3,AC63="None",AC63),IF(AND(P63='G-1 All Habitats'!$X$3,AC63&gt;0),H63-S63-T63))))))))</f>
        <v/>
      </c>
      <c r="X63" s="378" t="str">
        <f>IFERROR(IF(H63="","",IF(H63-S63-T63=0&lt;0,"Error in Areas ▲",IF(S63+T63&gt;H63,"Error in Areas ▲",IF(AND(P63='G-1 All Habitats'!$X$3,Y63="Yes"),"Alternative Compensation ✓",IF(W63=0,0,IF(P63='G-1 All Habitats'!$X$3,"Any Loss Unacceptable ▲",Q63-U63-V63)))))),"Check Data ▲")</f>
        <v/>
      </c>
      <c r="Y63" s="55"/>
      <c r="Z63" s="62"/>
      <c r="AA63" s="526"/>
      <c r="AB63" s="120"/>
      <c r="AC63" s="726" t="str">
        <f>IF(P63="","",IF(P63='G-1 All Habitats'!$X$3,H63-S63-T63,"None"))</f>
        <v/>
      </c>
      <c r="AD63" s="727" t="str">
        <f>IF(P63="","", IF(P63='G-1 All Habitats'!$X$3, AC63*J63*L63*O63,"None"))</f>
        <v/>
      </c>
      <c r="AF63" s="40" t="str">
        <f t="shared" si="0"/>
        <v/>
      </c>
      <c r="AG63" s="40" t="str">
        <f t="shared" si="1"/>
        <v/>
      </c>
      <c r="AH63" s="40" t="str">
        <f>IF(I63="","",IF(#REF!&gt;0,TRUE,FALSE))</f>
        <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x14ac:dyDescent="0.25">
      <c r="A64" s="35" t="str">
        <f>IFERROR(INDEX('G-1 All Habitats'!$AG$3:$AG$17,MATCH(E64,'G-1 All Habitats'!$AF$3:$AF$17,0)),"")</f>
        <v/>
      </c>
      <c r="B64" s="35" t="str">
        <f>IFERROR(INDEX('G-8 Condition Look up'!$I$4:$I$135,MATCH(G64,'G-8 Condition Look up'!$A$4:$A$135,0)),"")</f>
        <v/>
      </c>
      <c r="D64" s="287">
        <v>54</v>
      </c>
      <c r="E64" s="267"/>
      <c r="F64" s="61"/>
      <c r="G64" s="52" t="str">
        <f>IFERROR(INDEX('G-1 All Habitats'!$B$3:$B$134,MATCH(F64,'G-1 All Habitats'!$A$3:$A$134,0)),"")</f>
        <v/>
      </c>
      <c r="H64" s="53"/>
      <c r="I64" s="362" t="str">
        <f>IF(G64="","",VLOOKUP(G64,'G-1 All Habitats'!$B$2:$M$134,10,FALSE))</f>
        <v/>
      </c>
      <c r="J64" s="363" t="str">
        <f>IFERROR(VLOOKUP(I64,'G-1 All Habitats'!$V$3:$W$7,2,FALSE),"")</f>
        <v/>
      </c>
      <c r="K64" s="54"/>
      <c r="L64" s="363" t="str">
        <f>IFERROR(INDEX('G-8 Condition Look up'!$A$3:$H$135,MATCH(G64,'G-8 Condition Look up'!$A$3:$A$135,0),MATCH(K64,'G-8 Condition Look up'!$A$3:$H$3,0)),"")</f>
        <v/>
      </c>
      <c r="M64" s="54"/>
      <c r="N64" s="382" t="str">
        <f>IF(M64="","",IF(VLOOKUP(M64,'G-3 Multipliers'!$L$3:$N$6,2,FALSE)=0,"Spatial Data Missing",VLOOKUP(M64,'G-3 Multipliers'!$L$3:$N$6,2,FALSE)))</f>
        <v/>
      </c>
      <c r="O64" s="368" t="str">
        <f>IF(M64="","",IF(VLOOKUP(M64,'G-3 Multipliers'!$L$3:$N$6,3,FALSE)=0,"Spatial Data Missing ▲",VLOOKUP(M64,'G-3 Multipliers'!$L$3:$N$6,3,FALSE)))</f>
        <v/>
      </c>
      <c r="P64" s="369" t="str">
        <f>IFERROR(VLOOKUP(G64,'G-1 All Habitats'!$B$2:$M$134,12,FALSE),"")</f>
        <v/>
      </c>
      <c r="Q64" s="376" t="str">
        <f>IFERROR(IF(P64="","",IF(AND(P64='G-1 All Habitats'!$X$3,T64&gt;0),U64+V64,IF(AND(P64='G-1 All Habitats'!$X$3,S64&gt;0),U64+V64,IF(AND(P64='G-1 All Habitats'!$X$3,AC64&gt;0),"Any Loss Unacceptable ⚠",IF(AND(P64='G-1 All Habitats'!$X$3,W64&gt;0),"Any Loss Unacceptable ⚠",H64*J64*L64*O64))))),"Check Data ▲")</f>
        <v/>
      </c>
      <c r="R64" s="38"/>
      <c r="S64" s="54"/>
      <c r="T64" s="55"/>
      <c r="U64" s="374" t="str">
        <f t="shared" si="3"/>
        <v/>
      </c>
      <c r="V64" s="374" t="str">
        <f t="shared" si="4"/>
        <v/>
      </c>
      <c r="W64" s="374" t="str">
        <f>IF(E64="","",IF(H64&lt;S64+T64,"Error in Areas ▲",IF(P64&lt;&gt;'G-1 All Habitats'!$X$3,H64-S64-T64,IF(AND(P64='G-1 All Habitats'!$X$3,Y64="Yes"),"Unacceptable Loss ⚠",IF(AND(P64='G-1 All Habitats'!$X$3,Y64="No"),AC64,IF(AND(P64='G-1 All Habitats'!$X$3,Y64=""),AC64,IF(AND(P64='G-1 All Habitats'!$X$3,AC64="None",AC64),IF(AND(P64='G-1 All Habitats'!$X$3,AC64&gt;0),H64-S64-T64))))))))</f>
        <v/>
      </c>
      <c r="X64" s="378" t="str">
        <f>IFERROR(IF(H64="","",IF(H64-S64-T64=0&lt;0,"Error in Areas ▲",IF(S64+T64&gt;H64,"Error in Areas ▲",IF(AND(P64='G-1 All Habitats'!$X$3,Y64="Yes"),"Alternative Compensation ✓",IF(W64=0,0,IF(P64='G-1 All Habitats'!$X$3,"Any Loss Unacceptable ▲",Q64-U64-V64)))))),"Check Data ▲")</f>
        <v/>
      </c>
      <c r="Y64" s="55"/>
      <c r="Z64" s="62"/>
      <c r="AA64" s="526"/>
      <c r="AB64" s="120"/>
      <c r="AC64" s="726" t="str">
        <f>IF(P64="","",IF(P64='G-1 All Habitats'!$X$3,H64-S64-T64,"None"))</f>
        <v/>
      </c>
      <c r="AD64" s="727" t="str">
        <f>IF(P64="","", IF(P64='G-1 All Habitats'!$X$3, AC64*J64*L64*O64,"None"))</f>
        <v/>
      </c>
      <c r="AF64" s="40" t="str">
        <f t="shared" si="0"/>
        <v/>
      </c>
      <c r="AG64" s="40" t="str">
        <f t="shared" si="1"/>
        <v/>
      </c>
      <c r="AH64" s="40" t="str">
        <f>IF(I64="","",IF(#REF!&gt;0,TRUE,FALSE))</f>
        <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x14ac:dyDescent="0.25">
      <c r="A65" s="35" t="str">
        <f>IFERROR(INDEX('G-1 All Habitats'!$AG$3:$AG$17,MATCH(E65,'G-1 All Habitats'!$AF$3:$AF$17,0)),"")</f>
        <v/>
      </c>
      <c r="B65" s="35" t="str">
        <f>IFERROR(INDEX('G-8 Condition Look up'!$I$4:$I$135,MATCH(G65,'G-8 Condition Look up'!$A$4:$A$135,0)),"")</f>
        <v/>
      </c>
      <c r="D65" s="287">
        <v>55</v>
      </c>
      <c r="E65" s="267"/>
      <c r="F65" s="61"/>
      <c r="G65" s="52" t="str">
        <f>IFERROR(INDEX('G-1 All Habitats'!$B$3:$B$134,MATCH(F65,'G-1 All Habitats'!$A$3:$A$134,0)),"")</f>
        <v/>
      </c>
      <c r="H65" s="53"/>
      <c r="I65" s="362" t="str">
        <f>IF(G65="","",VLOOKUP(G65,'G-1 All Habitats'!$B$2:$M$134,10,FALSE))</f>
        <v/>
      </c>
      <c r="J65" s="363" t="str">
        <f>IFERROR(VLOOKUP(I65,'G-1 All Habitats'!$V$3:$W$7,2,FALSE),"")</f>
        <v/>
      </c>
      <c r="K65" s="54"/>
      <c r="L65" s="363" t="str">
        <f>IFERROR(INDEX('G-8 Condition Look up'!$A$3:$H$135,MATCH(G65,'G-8 Condition Look up'!$A$3:$A$135,0),MATCH(K65,'G-8 Condition Look up'!$A$3:$H$3,0)),"")</f>
        <v/>
      </c>
      <c r="M65" s="54"/>
      <c r="N65" s="382" t="str">
        <f>IF(M65="","",IF(VLOOKUP(M65,'G-3 Multipliers'!$L$3:$N$6,2,FALSE)=0,"Spatial Data Missing",VLOOKUP(M65,'G-3 Multipliers'!$L$3:$N$6,2,FALSE)))</f>
        <v/>
      </c>
      <c r="O65" s="368" t="str">
        <f>IF(M65="","",IF(VLOOKUP(M65,'G-3 Multipliers'!$L$3:$N$6,3,FALSE)=0,"Spatial Data Missing ▲",VLOOKUP(M65,'G-3 Multipliers'!$L$3:$N$6,3,FALSE)))</f>
        <v/>
      </c>
      <c r="P65" s="369" t="str">
        <f>IFERROR(VLOOKUP(G65,'G-1 All Habitats'!$B$2:$M$134,12,FALSE),"")</f>
        <v/>
      </c>
      <c r="Q65" s="376" t="str">
        <f>IFERROR(IF(P65="","",IF(AND(P65='G-1 All Habitats'!$X$3,T65&gt;0),U65+V65,IF(AND(P65='G-1 All Habitats'!$X$3,S65&gt;0),U65+V65,IF(AND(P65='G-1 All Habitats'!$X$3,AC65&gt;0),"Any Loss Unacceptable ⚠",IF(AND(P65='G-1 All Habitats'!$X$3,W65&gt;0),"Any Loss Unacceptable ⚠",H65*J65*L65*O65))))),"Check Data ▲")</f>
        <v/>
      </c>
      <c r="R65" s="38"/>
      <c r="S65" s="54"/>
      <c r="T65" s="55"/>
      <c r="U65" s="374" t="str">
        <f t="shared" si="3"/>
        <v/>
      </c>
      <c r="V65" s="374" t="str">
        <f t="shared" si="4"/>
        <v/>
      </c>
      <c r="W65" s="374" t="str">
        <f>IF(E65="","",IF(H65&lt;S65+T65,"Error in Areas ▲",IF(P65&lt;&gt;'G-1 All Habitats'!$X$3,H65-S65-T65,IF(AND(P65='G-1 All Habitats'!$X$3,Y65="Yes"),"Unacceptable Loss ⚠",IF(AND(P65='G-1 All Habitats'!$X$3,Y65="No"),AC65,IF(AND(P65='G-1 All Habitats'!$X$3,Y65=""),AC65,IF(AND(P65='G-1 All Habitats'!$X$3,AC65="None",AC65),IF(AND(P65='G-1 All Habitats'!$X$3,AC65&gt;0),H65-S65-T65))))))))</f>
        <v/>
      </c>
      <c r="X65" s="378" t="str">
        <f>IFERROR(IF(H65="","",IF(H65-S65-T65=0&lt;0,"Error in Areas ▲",IF(S65+T65&gt;H65,"Error in Areas ▲",IF(AND(P65='G-1 All Habitats'!$X$3,Y65="Yes"),"Alternative Compensation ✓",IF(W65=0,0,IF(P65='G-1 All Habitats'!$X$3,"Any Loss Unacceptable ▲",Q65-U65-V65)))))),"Check Data ▲")</f>
        <v/>
      </c>
      <c r="Y65" s="55"/>
      <c r="Z65" s="62"/>
      <c r="AA65" s="526"/>
      <c r="AB65" s="120"/>
      <c r="AC65" s="726" t="str">
        <f>IF(P65="","",IF(P65='G-1 All Habitats'!$X$3,H65-S65-T65,"None"))</f>
        <v/>
      </c>
      <c r="AD65" s="727" t="str">
        <f>IF(P65="","", IF(P65='G-1 All Habitats'!$X$3, AC65*J65*L65*O65,"None"))</f>
        <v/>
      </c>
      <c r="AF65" s="40" t="str">
        <f t="shared" si="0"/>
        <v/>
      </c>
      <c r="AG65" s="40" t="str">
        <f t="shared" si="1"/>
        <v/>
      </c>
      <c r="AH65" s="40" t="str">
        <f>IF(I65="","",IF(#REF!&gt;0,TRUE,FALSE))</f>
        <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x14ac:dyDescent="0.25">
      <c r="A66" s="35" t="str">
        <f>IFERROR(INDEX('G-1 All Habitats'!$AG$3:$AG$17,MATCH(E66,'G-1 All Habitats'!$AF$3:$AF$17,0)),"")</f>
        <v/>
      </c>
      <c r="B66" s="35" t="str">
        <f>IFERROR(INDEX('G-8 Condition Look up'!$I$4:$I$135,MATCH(G66,'G-8 Condition Look up'!$A$4:$A$135,0)),"")</f>
        <v/>
      </c>
      <c r="D66" s="287">
        <v>56</v>
      </c>
      <c r="E66" s="267"/>
      <c r="F66" s="61"/>
      <c r="G66" s="52" t="str">
        <f>IFERROR(INDEX('G-1 All Habitats'!$B$3:$B$134,MATCH(F66,'G-1 All Habitats'!$A$3:$A$134,0)),"")</f>
        <v/>
      </c>
      <c r="H66" s="53"/>
      <c r="I66" s="362" t="str">
        <f>IF(G66="","",VLOOKUP(G66,'G-1 All Habitats'!$B$2:$M$134,10,FALSE))</f>
        <v/>
      </c>
      <c r="J66" s="363" t="str">
        <f>IFERROR(VLOOKUP(I66,'G-1 All Habitats'!$V$3:$W$7,2,FALSE),"")</f>
        <v/>
      </c>
      <c r="K66" s="54"/>
      <c r="L66" s="363" t="str">
        <f>IFERROR(INDEX('G-8 Condition Look up'!$A$3:$H$135,MATCH(G66,'G-8 Condition Look up'!$A$3:$A$135,0),MATCH(K66,'G-8 Condition Look up'!$A$3:$H$3,0)),"")</f>
        <v/>
      </c>
      <c r="M66" s="54"/>
      <c r="N66" s="382" t="str">
        <f>IF(M66="","",IF(VLOOKUP(M66,'G-3 Multipliers'!$L$3:$N$6,2,FALSE)=0,"Spatial Data Missing",VLOOKUP(M66,'G-3 Multipliers'!$L$3:$N$6,2,FALSE)))</f>
        <v/>
      </c>
      <c r="O66" s="368" t="str">
        <f>IF(M66="","",IF(VLOOKUP(M66,'G-3 Multipliers'!$L$3:$N$6,3,FALSE)=0,"Spatial Data Missing ▲",VLOOKUP(M66,'G-3 Multipliers'!$L$3:$N$6,3,FALSE)))</f>
        <v/>
      </c>
      <c r="P66" s="369" t="str">
        <f>IFERROR(VLOOKUP(G66,'G-1 All Habitats'!$B$2:$M$134,12,FALSE),"")</f>
        <v/>
      </c>
      <c r="Q66" s="376" t="str">
        <f>IFERROR(IF(P66="","",IF(AND(P66='G-1 All Habitats'!$X$3,T66&gt;0),U66+V66,IF(AND(P66='G-1 All Habitats'!$X$3,S66&gt;0),U66+V66,IF(AND(P66='G-1 All Habitats'!$X$3,AC66&gt;0),"Any Loss Unacceptable ⚠",IF(AND(P66='G-1 All Habitats'!$X$3,W66&gt;0),"Any Loss Unacceptable ⚠",H66*J66*L66*O66))))),"Check Data ▲")</f>
        <v/>
      </c>
      <c r="R66" s="38"/>
      <c r="S66" s="54"/>
      <c r="T66" s="55"/>
      <c r="U66" s="374" t="str">
        <f t="shared" si="3"/>
        <v/>
      </c>
      <c r="V66" s="374" t="str">
        <f t="shared" si="4"/>
        <v/>
      </c>
      <c r="W66" s="374" t="str">
        <f>IF(E66="","",IF(H66&lt;S66+T66,"Error in Areas ▲",IF(P66&lt;&gt;'G-1 All Habitats'!$X$3,H66-S66-T66,IF(AND(P66='G-1 All Habitats'!$X$3,Y66="Yes"),"Unacceptable Loss ⚠",IF(AND(P66='G-1 All Habitats'!$X$3,Y66="No"),AC66,IF(AND(P66='G-1 All Habitats'!$X$3,Y66=""),AC66,IF(AND(P66='G-1 All Habitats'!$X$3,AC66="None",AC66),IF(AND(P66='G-1 All Habitats'!$X$3,AC66&gt;0),H66-S66-T66))))))))</f>
        <v/>
      </c>
      <c r="X66" s="378" t="str">
        <f>IFERROR(IF(H66="","",IF(H66-S66-T66=0&lt;0,"Error in Areas ▲",IF(S66+T66&gt;H66,"Error in Areas ▲",IF(AND(P66='G-1 All Habitats'!$X$3,Y66="Yes"),"Alternative Compensation ✓",IF(W66=0,0,IF(P66='G-1 All Habitats'!$X$3,"Any Loss Unacceptable ▲",Q66-U66-V66)))))),"Check Data ▲")</f>
        <v/>
      </c>
      <c r="Y66" s="55"/>
      <c r="Z66" s="62"/>
      <c r="AA66" s="526"/>
      <c r="AB66" s="120"/>
      <c r="AC66" s="726" t="str">
        <f>IF(P66="","",IF(P66='G-1 All Habitats'!$X$3,H66-S66-T66,"None"))</f>
        <v/>
      </c>
      <c r="AD66" s="727" t="str">
        <f>IF(P66="","", IF(P66='G-1 All Habitats'!$X$3, AC66*J66*L66*O66,"None"))</f>
        <v/>
      </c>
      <c r="AF66" s="40" t="str">
        <f t="shared" si="0"/>
        <v/>
      </c>
      <c r="AG66" s="40" t="str">
        <f t="shared" si="1"/>
        <v/>
      </c>
      <c r="AH66" s="40" t="str">
        <f>IF(I66="","",IF(#REF!&gt;0,TRUE,FALSE))</f>
        <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x14ac:dyDescent="0.25">
      <c r="A67" s="35" t="str">
        <f>IFERROR(INDEX('G-1 All Habitats'!$AG$3:$AG$17,MATCH(E67,'G-1 All Habitats'!$AF$3:$AF$17,0)),"")</f>
        <v/>
      </c>
      <c r="B67" s="35" t="str">
        <f>IFERROR(INDEX('G-8 Condition Look up'!$I$4:$I$135,MATCH(G67,'G-8 Condition Look up'!$A$4:$A$135,0)),"")</f>
        <v/>
      </c>
      <c r="D67" s="287">
        <v>57</v>
      </c>
      <c r="E67" s="267"/>
      <c r="F67" s="61"/>
      <c r="G67" s="52" t="str">
        <f>IFERROR(INDEX('G-1 All Habitats'!$B$3:$B$134,MATCH(F67,'G-1 All Habitats'!$A$3:$A$134,0)),"")</f>
        <v/>
      </c>
      <c r="H67" s="53"/>
      <c r="I67" s="362" t="str">
        <f>IF(G67="","",VLOOKUP(G67,'G-1 All Habitats'!$B$2:$M$134,10,FALSE))</f>
        <v/>
      </c>
      <c r="J67" s="363" t="str">
        <f>IFERROR(VLOOKUP(I67,'G-1 All Habitats'!$V$3:$W$7,2,FALSE),"")</f>
        <v/>
      </c>
      <c r="K67" s="54"/>
      <c r="L67" s="363" t="str">
        <f>IFERROR(INDEX('G-8 Condition Look up'!$A$3:$H$135,MATCH(G67,'G-8 Condition Look up'!$A$3:$A$135,0),MATCH(K67,'G-8 Condition Look up'!$A$3:$H$3,0)),"")</f>
        <v/>
      </c>
      <c r="M67" s="54"/>
      <c r="N67" s="382" t="str">
        <f>IF(M67="","",IF(VLOOKUP(M67,'G-3 Multipliers'!$L$3:$N$6,2,FALSE)=0,"Spatial Data Missing",VLOOKUP(M67,'G-3 Multipliers'!$L$3:$N$6,2,FALSE)))</f>
        <v/>
      </c>
      <c r="O67" s="368" t="str">
        <f>IF(M67="","",IF(VLOOKUP(M67,'G-3 Multipliers'!$L$3:$N$6,3,FALSE)=0,"Spatial Data Missing ▲",VLOOKUP(M67,'G-3 Multipliers'!$L$3:$N$6,3,FALSE)))</f>
        <v/>
      </c>
      <c r="P67" s="369" t="str">
        <f>IFERROR(VLOOKUP(G67,'G-1 All Habitats'!$B$2:$M$134,12,FALSE),"")</f>
        <v/>
      </c>
      <c r="Q67" s="376" t="str">
        <f>IFERROR(IF(P67="","",IF(AND(P67='G-1 All Habitats'!$X$3,T67&gt;0),U67+V67,IF(AND(P67='G-1 All Habitats'!$X$3,S67&gt;0),U67+V67,IF(AND(P67='G-1 All Habitats'!$X$3,AC67&gt;0),"Any Loss Unacceptable ⚠",IF(AND(P67='G-1 All Habitats'!$X$3,W67&gt;0),"Any Loss Unacceptable ⚠",H67*J67*L67*O67))))),"Check Data ▲")</f>
        <v/>
      </c>
      <c r="R67" s="38"/>
      <c r="S67" s="54"/>
      <c r="T67" s="55"/>
      <c r="U67" s="374" t="str">
        <f t="shared" si="3"/>
        <v/>
      </c>
      <c r="V67" s="374" t="str">
        <f t="shared" si="4"/>
        <v/>
      </c>
      <c r="W67" s="374" t="str">
        <f>IF(E67="","",IF(H67&lt;S67+T67,"Error in Areas ▲",IF(P67&lt;&gt;'G-1 All Habitats'!$X$3,H67-S67-T67,IF(AND(P67='G-1 All Habitats'!$X$3,Y67="Yes"),"Unacceptable Loss ⚠",IF(AND(P67='G-1 All Habitats'!$X$3,Y67="No"),AC67,IF(AND(P67='G-1 All Habitats'!$X$3,Y67=""),AC67,IF(AND(P67='G-1 All Habitats'!$X$3,AC67="None",AC67),IF(AND(P67='G-1 All Habitats'!$X$3,AC67&gt;0),H67-S67-T67))))))))</f>
        <v/>
      </c>
      <c r="X67" s="378" t="str">
        <f>IFERROR(IF(H67="","",IF(H67-S67-T67=0&lt;0,"Error in Areas ▲",IF(S67+T67&gt;H67,"Error in Areas ▲",IF(AND(P67='G-1 All Habitats'!$X$3,Y67="Yes"),"Alternative Compensation ✓",IF(W67=0,0,IF(P67='G-1 All Habitats'!$X$3,"Any Loss Unacceptable ▲",Q67-U67-V67)))))),"Check Data ▲")</f>
        <v/>
      </c>
      <c r="Y67" s="55"/>
      <c r="Z67" s="62"/>
      <c r="AA67" s="526"/>
      <c r="AB67" s="120"/>
      <c r="AC67" s="726" t="str">
        <f>IF(P67="","",IF(P67='G-1 All Habitats'!$X$3,H67-S67-T67,"None"))</f>
        <v/>
      </c>
      <c r="AD67" s="727" t="str">
        <f>IF(P67="","", IF(P67='G-1 All Habitats'!$X$3, AC67*J67*L67*O67,"None"))</f>
        <v/>
      </c>
      <c r="AF67" s="40" t="str">
        <f t="shared" si="0"/>
        <v/>
      </c>
      <c r="AG67" s="40" t="str">
        <f t="shared" si="1"/>
        <v/>
      </c>
      <c r="AH67" s="40" t="str">
        <f>IF(I67="","",IF(#REF!&gt;0,TRUE,FALSE))</f>
        <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x14ac:dyDescent="0.25">
      <c r="A68" s="35" t="str">
        <f>IFERROR(INDEX('G-1 All Habitats'!$AG$3:$AG$17,MATCH(E68,'G-1 All Habitats'!$AF$3:$AF$17,0)),"")</f>
        <v/>
      </c>
      <c r="B68" s="35" t="str">
        <f>IFERROR(INDEX('G-8 Condition Look up'!$I$4:$I$135,MATCH(G68,'G-8 Condition Look up'!$A$4:$A$135,0)),"")</f>
        <v/>
      </c>
      <c r="D68" s="287">
        <v>58</v>
      </c>
      <c r="E68" s="267"/>
      <c r="F68" s="61"/>
      <c r="G68" s="52" t="str">
        <f>IFERROR(INDEX('G-1 All Habitats'!$B$3:$B$134,MATCH(F68,'G-1 All Habitats'!$A$3:$A$134,0)),"")</f>
        <v/>
      </c>
      <c r="H68" s="53"/>
      <c r="I68" s="362" t="str">
        <f>IF(G68="","",VLOOKUP(G68,'G-1 All Habitats'!$B$2:$M$134,10,FALSE))</f>
        <v/>
      </c>
      <c r="J68" s="363" t="str">
        <f>IFERROR(VLOOKUP(I68,'G-1 All Habitats'!$V$3:$W$7,2,FALSE),"")</f>
        <v/>
      </c>
      <c r="K68" s="54"/>
      <c r="L68" s="363" t="str">
        <f>IFERROR(INDEX('G-8 Condition Look up'!$A$3:$H$135,MATCH(G68,'G-8 Condition Look up'!$A$3:$A$135,0),MATCH(K68,'G-8 Condition Look up'!$A$3:$H$3,0)),"")</f>
        <v/>
      </c>
      <c r="M68" s="54"/>
      <c r="N68" s="382" t="str">
        <f>IF(M68="","",IF(VLOOKUP(M68,'G-3 Multipliers'!$L$3:$N$6,2,FALSE)=0,"Spatial Data Missing",VLOOKUP(M68,'G-3 Multipliers'!$L$3:$N$6,2,FALSE)))</f>
        <v/>
      </c>
      <c r="O68" s="368" t="str">
        <f>IF(M68="","",IF(VLOOKUP(M68,'G-3 Multipliers'!$L$3:$N$6,3,FALSE)=0,"Spatial Data Missing ▲",VLOOKUP(M68,'G-3 Multipliers'!$L$3:$N$6,3,FALSE)))</f>
        <v/>
      </c>
      <c r="P68" s="369" t="str">
        <f>IFERROR(VLOOKUP(G68,'G-1 All Habitats'!$B$2:$M$134,12,FALSE),"")</f>
        <v/>
      </c>
      <c r="Q68" s="376" t="str">
        <f>IFERROR(IF(P68="","",IF(AND(P68='G-1 All Habitats'!$X$3,T68&gt;0),U68+V68,IF(AND(P68='G-1 All Habitats'!$X$3,S68&gt;0),U68+V68,IF(AND(P68='G-1 All Habitats'!$X$3,AC68&gt;0),"Any Loss Unacceptable ⚠",IF(AND(P68='G-1 All Habitats'!$X$3,W68&gt;0),"Any Loss Unacceptable ⚠",H68*J68*L68*O68))))),"Check Data ▲")</f>
        <v/>
      </c>
      <c r="R68" s="38"/>
      <c r="S68" s="54"/>
      <c r="T68" s="55"/>
      <c r="U68" s="374" t="str">
        <f t="shared" si="3"/>
        <v/>
      </c>
      <c r="V68" s="374" t="str">
        <f t="shared" si="4"/>
        <v/>
      </c>
      <c r="W68" s="374" t="str">
        <f>IF(E68="","",IF(H68&lt;S68+T68,"Error in Areas ▲",IF(P68&lt;&gt;'G-1 All Habitats'!$X$3,H68-S68-T68,IF(AND(P68='G-1 All Habitats'!$X$3,Y68="Yes"),"Unacceptable Loss ⚠",IF(AND(P68='G-1 All Habitats'!$X$3,Y68="No"),AC68,IF(AND(P68='G-1 All Habitats'!$X$3,Y68=""),AC68,IF(AND(P68='G-1 All Habitats'!$X$3,AC68="None",AC68),IF(AND(P68='G-1 All Habitats'!$X$3,AC68&gt;0),H68-S68-T68))))))))</f>
        <v/>
      </c>
      <c r="X68" s="378" t="str">
        <f>IFERROR(IF(H68="","",IF(H68-S68-T68=0&lt;0,"Error in Areas ▲",IF(S68+T68&gt;H68,"Error in Areas ▲",IF(AND(P68='G-1 All Habitats'!$X$3,Y68="Yes"),"Alternative Compensation ✓",IF(W68=0,0,IF(P68='G-1 All Habitats'!$X$3,"Any Loss Unacceptable ▲",Q68-U68-V68)))))),"Check Data ▲")</f>
        <v/>
      </c>
      <c r="Y68" s="55"/>
      <c r="Z68" s="62"/>
      <c r="AA68" s="526"/>
      <c r="AB68" s="120"/>
      <c r="AC68" s="726" t="str">
        <f>IF(P68="","",IF(P68='G-1 All Habitats'!$X$3,H68-S68-T68,"None"))</f>
        <v/>
      </c>
      <c r="AD68" s="727" t="str">
        <f>IF(P68="","", IF(P68='G-1 All Habitats'!$X$3, AC68*J68*L68*O68,"None"))</f>
        <v/>
      </c>
      <c r="AF68" s="40" t="str">
        <f t="shared" si="0"/>
        <v/>
      </c>
      <c r="AG68" s="40" t="str">
        <f t="shared" si="1"/>
        <v/>
      </c>
      <c r="AH68" s="40" t="str">
        <f>IF(I68="","",IF(#REF!&gt;0,TRUE,FALSE))</f>
        <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x14ac:dyDescent="0.25">
      <c r="A69" s="35" t="str">
        <f>IFERROR(INDEX('G-1 All Habitats'!$AG$3:$AG$17,MATCH(E69,'G-1 All Habitats'!$AF$3:$AF$17,0)),"")</f>
        <v/>
      </c>
      <c r="B69" s="35" t="str">
        <f>IFERROR(INDEX('G-8 Condition Look up'!$I$4:$I$135,MATCH(G69,'G-8 Condition Look up'!$A$4:$A$135,0)),"")</f>
        <v/>
      </c>
      <c r="D69" s="287">
        <v>59</v>
      </c>
      <c r="E69" s="267"/>
      <c r="F69" s="61"/>
      <c r="G69" s="52" t="str">
        <f>IFERROR(INDEX('G-1 All Habitats'!$B$3:$B$134,MATCH(F69,'G-1 All Habitats'!$A$3:$A$134,0)),"")</f>
        <v/>
      </c>
      <c r="H69" s="53"/>
      <c r="I69" s="362" t="str">
        <f>IF(G69="","",VLOOKUP(G69,'G-1 All Habitats'!$B$2:$M$134,10,FALSE))</f>
        <v/>
      </c>
      <c r="J69" s="363" t="str">
        <f>IFERROR(VLOOKUP(I69,'G-1 All Habitats'!$V$3:$W$7,2,FALSE),"")</f>
        <v/>
      </c>
      <c r="K69" s="54"/>
      <c r="L69" s="363" t="str">
        <f>IFERROR(INDEX('G-8 Condition Look up'!$A$3:$H$135,MATCH(G69,'G-8 Condition Look up'!$A$3:$A$135,0),MATCH(K69,'G-8 Condition Look up'!$A$3:$H$3,0)),"")</f>
        <v/>
      </c>
      <c r="M69" s="54"/>
      <c r="N69" s="382" t="str">
        <f>IF(M69="","",IF(VLOOKUP(M69,'G-3 Multipliers'!$L$3:$N$6,2,FALSE)=0,"Spatial Data Missing",VLOOKUP(M69,'G-3 Multipliers'!$L$3:$N$6,2,FALSE)))</f>
        <v/>
      </c>
      <c r="O69" s="368" t="str">
        <f>IF(M69="","",IF(VLOOKUP(M69,'G-3 Multipliers'!$L$3:$N$6,3,FALSE)=0,"Spatial Data Missing ▲",VLOOKUP(M69,'G-3 Multipliers'!$L$3:$N$6,3,FALSE)))</f>
        <v/>
      </c>
      <c r="P69" s="369" t="str">
        <f>IFERROR(VLOOKUP(G69,'G-1 All Habitats'!$B$2:$M$134,12,FALSE),"")</f>
        <v/>
      </c>
      <c r="Q69" s="376" t="str">
        <f>IFERROR(IF(P69="","",IF(AND(P69='G-1 All Habitats'!$X$3,T69&gt;0),U69+V69,IF(AND(P69='G-1 All Habitats'!$X$3,S69&gt;0),U69+V69,IF(AND(P69='G-1 All Habitats'!$X$3,AC69&gt;0),"Any Loss Unacceptable ⚠",IF(AND(P69='G-1 All Habitats'!$X$3,W69&gt;0),"Any Loss Unacceptable ⚠",H69*J69*L69*O69))))),"Check Data ▲")</f>
        <v/>
      </c>
      <c r="R69" s="38"/>
      <c r="S69" s="54"/>
      <c r="T69" s="55"/>
      <c r="U69" s="374" t="str">
        <f t="shared" si="3"/>
        <v/>
      </c>
      <c r="V69" s="374" t="str">
        <f t="shared" si="4"/>
        <v/>
      </c>
      <c r="W69" s="374" t="str">
        <f>IF(E69="","",IF(H69&lt;S69+T69,"Error in Areas ▲",IF(P69&lt;&gt;'G-1 All Habitats'!$X$3,H69-S69-T69,IF(AND(P69='G-1 All Habitats'!$X$3,Y69="Yes"),"Unacceptable Loss ⚠",IF(AND(P69='G-1 All Habitats'!$X$3,Y69="No"),AC69,IF(AND(P69='G-1 All Habitats'!$X$3,Y69=""),AC69,IF(AND(P69='G-1 All Habitats'!$X$3,AC69="None",AC69),IF(AND(P69='G-1 All Habitats'!$X$3,AC69&gt;0),H69-S69-T69))))))))</f>
        <v/>
      </c>
      <c r="X69" s="378" t="str">
        <f>IFERROR(IF(H69="","",IF(H69-S69-T69=0&lt;0,"Error in Areas ▲",IF(S69+T69&gt;H69,"Error in Areas ▲",IF(AND(P69='G-1 All Habitats'!$X$3,Y69="Yes"),"Alternative Compensation ✓",IF(W69=0,0,IF(P69='G-1 All Habitats'!$X$3,"Any Loss Unacceptable ▲",Q69-U69-V69)))))),"Check Data ▲")</f>
        <v/>
      </c>
      <c r="Y69" s="55"/>
      <c r="Z69" s="62"/>
      <c r="AA69" s="526"/>
      <c r="AB69" s="120"/>
      <c r="AC69" s="726" t="str">
        <f>IF(P69="","",IF(P69='G-1 All Habitats'!$X$3,H69-S69-T69,"None"))</f>
        <v/>
      </c>
      <c r="AD69" s="727" t="str">
        <f>IF(P69="","", IF(P69='G-1 All Habitats'!$X$3, AC69*J69*L69*O69,"None"))</f>
        <v/>
      </c>
      <c r="AF69" s="40" t="str">
        <f t="shared" si="0"/>
        <v/>
      </c>
      <c r="AG69" s="40" t="str">
        <f t="shared" si="1"/>
        <v/>
      </c>
      <c r="AH69" s="40" t="str">
        <f>IF(I69="","",IF(#REF!&gt;0,TRUE,FALSE))</f>
        <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x14ac:dyDescent="0.25">
      <c r="A70" s="35" t="str">
        <f>IFERROR(INDEX('G-1 All Habitats'!$AG$3:$AG$17,MATCH(E70,'G-1 All Habitats'!$AF$3:$AF$17,0)),"")</f>
        <v/>
      </c>
      <c r="B70" s="35" t="str">
        <f>IFERROR(INDEX('G-8 Condition Look up'!$I$4:$I$135,MATCH(G70,'G-8 Condition Look up'!$A$4:$A$135,0)),"")</f>
        <v/>
      </c>
      <c r="D70" s="287">
        <v>60</v>
      </c>
      <c r="E70" s="267"/>
      <c r="F70" s="61"/>
      <c r="G70" s="52" t="str">
        <f>IFERROR(INDEX('G-1 All Habitats'!$B$3:$B$134,MATCH(F70,'G-1 All Habitats'!$A$3:$A$134,0)),"")</f>
        <v/>
      </c>
      <c r="H70" s="53"/>
      <c r="I70" s="362" t="str">
        <f>IF(G70="","",VLOOKUP(G70,'G-1 All Habitats'!$B$2:$M$134,10,FALSE))</f>
        <v/>
      </c>
      <c r="J70" s="363" t="str">
        <f>IFERROR(VLOOKUP(I70,'G-1 All Habitats'!$V$3:$W$7,2,FALSE),"")</f>
        <v/>
      </c>
      <c r="K70" s="54"/>
      <c r="L70" s="363" t="str">
        <f>IFERROR(INDEX('G-8 Condition Look up'!$A$3:$H$135,MATCH(G70,'G-8 Condition Look up'!$A$3:$A$135,0),MATCH(K70,'G-8 Condition Look up'!$A$3:$H$3,0)),"")</f>
        <v/>
      </c>
      <c r="M70" s="54"/>
      <c r="N70" s="382" t="str">
        <f>IF(M70="","",IF(VLOOKUP(M70,'G-3 Multipliers'!$L$3:$N$6,2,FALSE)=0,"Spatial Data Missing",VLOOKUP(M70,'G-3 Multipliers'!$L$3:$N$6,2,FALSE)))</f>
        <v/>
      </c>
      <c r="O70" s="368" t="str">
        <f>IF(M70="","",IF(VLOOKUP(M70,'G-3 Multipliers'!$L$3:$N$6,3,FALSE)=0,"Spatial Data Missing ▲",VLOOKUP(M70,'G-3 Multipliers'!$L$3:$N$6,3,FALSE)))</f>
        <v/>
      </c>
      <c r="P70" s="369" t="str">
        <f>IFERROR(VLOOKUP(G70,'G-1 All Habitats'!$B$2:$M$134,12,FALSE),"")</f>
        <v/>
      </c>
      <c r="Q70" s="376" t="str">
        <f>IFERROR(IF(P70="","",IF(AND(P70='G-1 All Habitats'!$X$3,T70&gt;0),U70+V70,IF(AND(P70='G-1 All Habitats'!$X$3,S70&gt;0),U70+V70,IF(AND(P70='G-1 All Habitats'!$X$3,AC70&gt;0),"Any Loss Unacceptable ⚠",IF(AND(P70='G-1 All Habitats'!$X$3,W70&gt;0),"Any Loss Unacceptable ⚠",H70*J70*L70*O70))))),"Check Data ▲")</f>
        <v/>
      </c>
      <c r="R70" s="38"/>
      <c r="S70" s="54"/>
      <c r="T70" s="55"/>
      <c r="U70" s="374" t="str">
        <f t="shared" si="3"/>
        <v/>
      </c>
      <c r="V70" s="374" t="str">
        <f t="shared" si="4"/>
        <v/>
      </c>
      <c r="W70" s="374" t="str">
        <f>IF(E70="","",IF(H70&lt;S70+T70,"Error in Areas ▲",IF(P70&lt;&gt;'G-1 All Habitats'!$X$3,H70-S70-T70,IF(AND(P70='G-1 All Habitats'!$X$3,Y70="Yes"),"Unacceptable Loss ⚠",IF(AND(P70='G-1 All Habitats'!$X$3,Y70="No"),AC70,IF(AND(P70='G-1 All Habitats'!$X$3,Y70=""),AC70,IF(AND(P70='G-1 All Habitats'!$X$3,AC70="None",AC70),IF(AND(P70='G-1 All Habitats'!$X$3,AC70&gt;0),H70-S70-T70))))))))</f>
        <v/>
      </c>
      <c r="X70" s="378" t="str">
        <f>IFERROR(IF(H70="","",IF(H70-S70-T70=0&lt;0,"Error in Areas ▲",IF(S70+T70&gt;H70,"Error in Areas ▲",IF(AND(P70='G-1 All Habitats'!$X$3,Y70="Yes"),"Alternative Compensation ✓",IF(W70=0,0,IF(P70='G-1 All Habitats'!$X$3,"Any Loss Unacceptable ▲",Q70-U70-V70)))))),"Check Data ▲")</f>
        <v/>
      </c>
      <c r="Y70" s="55"/>
      <c r="Z70" s="62"/>
      <c r="AA70" s="526"/>
      <c r="AB70" s="120"/>
      <c r="AC70" s="726" t="str">
        <f>IF(P70="","",IF(P70='G-1 All Habitats'!$X$3,H70-S70-T70,"None"))</f>
        <v/>
      </c>
      <c r="AD70" s="727" t="str">
        <f>IF(P70="","", IF(P70='G-1 All Habitats'!$X$3, AC70*J70*L70*O70,"None"))</f>
        <v/>
      </c>
      <c r="AF70" s="40" t="str">
        <f t="shared" si="0"/>
        <v/>
      </c>
      <c r="AG70" s="40" t="str">
        <f t="shared" si="1"/>
        <v/>
      </c>
      <c r="AH70" s="40" t="str">
        <f>IF(I70="","",IF(#REF!&gt;0,TRUE,FALSE))</f>
        <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x14ac:dyDescent="0.25">
      <c r="A71" s="35" t="str">
        <f>IFERROR(INDEX('G-1 All Habitats'!$AG$3:$AG$17,MATCH(E71,'G-1 All Habitats'!$AF$3:$AF$17,0)),"")</f>
        <v/>
      </c>
      <c r="B71" s="35" t="str">
        <f>IFERROR(INDEX('G-8 Condition Look up'!$I$4:$I$135,MATCH(G71,'G-8 Condition Look up'!$A$4:$A$135,0)),"")</f>
        <v/>
      </c>
      <c r="D71" s="287">
        <v>61</v>
      </c>
      <c r="E71" s="267"/>
      <c r="F71" s="61"/>
      <c r="G71" s="52" t="str">
        <f>IFERROR(INDEX('G-1 All Habitats'!$B$3:$B$134,MATCH(F71,'G-1 All Habitats'!$A$3:$A$134,0)),"")</f>
        <v/>
      </c>
      <c r="H71" s="53"/>
      <c r="I71" s="362" t="str">
        <f>IF(G71="","",VLOOKUP(G71,'G-1 All Habitats'!$B$2:$M$134,10,FALSE))</f>
        <v/>
      </c>
      <c r="J71" s="363" t="str">
        <f>IFERROR(VLOOKUP(I71,'G-1 All Habitats'!$V$3:$W$7,2,FALSE),"")</f>
        <v/>
      </c>
      <c r="K71" s="54"/>
      <c r="L71" s="363" t="str">
        <f>IFERROR(INDEX('G-8 Condition Look up'!$A$3:$H$135,MATCH(G71,'G-8 Condition Look up'!$A$3:$A$135,0),MATCH(K71,'G-8 Condition Look up'!$A$3:$H$3,0)),"")</f>
        <v/>
      </c>
      <c r="M71" s="54"/>
      <c r="N71" s="382" t="str">
        <f>IF(M71="","",IF(VLOOKUP(M71,'G-3 Multipliers'!$L$3:$N$6,2,FALSE)=0,"Spatial Data Missing",VLOOKUP(M71,'G-3 Multipliers'!$L$3:$N$6,2,FALSE)))</f>
        <v/>
      </c>
      <c r="O71" s="368" t="str">
        <f>IF(M71="","",IF(VLOOKUP(M71,'G-3 Multipliers'!$L$3:$N$6,3,FALSE)=0,"Spatial Data Missing ▲",VLOOKUP(M71,'G-3 Multipliers'!$L$3:$N$6,3,FALSE)))</f>
        <v/>
      </c>
      <c r="P71" s="369" t="str">
        <f>IFERROR(VLOOKUP(G71,'G-1 All Habitats'!$B$2:$M$134,12,FALSE),"")</f>
        <v/>
      </c>
      <c r="Q71" s="376" t="str">
        <f>IFERROR(IF(P71="","",IF(AND(P71='G-1 All Habitats'!$X$3,T71&gt;0),U71+V71,IF(AND(P71='G-1 All Habitats'!$X$3,S71&gt;0),U71+V71,IF(AND(P71='G-1 All Habitats'!$X$3,AC71&gt;0),"Any Loss Unacceptable ⚠",IF(AND(P71='G-1 All Habitats'!$X$3,W71&gt;0),"Any Loss Unacceptable ⚠",H71*J71*L71*O71))))),"Check Data ▲")</f>
        <v/>
      </c>
      <c r="R71" s="38"/>
      <c r="S71" s="54"/>
      <c r="T71" s="55"/>
      <c r="U71" s="374" t="str">
        <f t="shared" si="3"/>
        <v/>
      </c>
      <c r="V71" s="374" t="str">
        <f t="shared" si="4"/>
        <v/>
      </c>
      <c r="W71" s="374" t="str">
        <f>IF(E71="","",IF(H71&lt;S71+T71,"Error in Areas ▲",IF(P71&lt;&gt;'G-1 All Habitats'!$X$3,H71-S71-T71,IF(AND(P71='G-1 All Habitats'!$X$3,Y71="Yes"),"Unacceptable Loss ⚠",IF(AND(P71='G-1 All Habitats'!$X$3,Y71="No"),AC71,IF(AND(P71='G-1 All Habitats'!$X$3,Y71=""),AC71,IF(AND(P71='G-1 All Habitats'!$X$3,AC71="None",AC71),IF(AND(P71='G-1 All Habitats'!$X$3,AC71&gt;0),H71-S71-T71))))))))</f>
        <v/>
      </c>
      <c r="X71" s="378" t="str">
        <f>IFERROR(IF(H71="","",IF(H71-S71-T71=0&lt;0,"Error in Areas ▲",IF(S71+T71&gt;H71,"Error in Areas ▲",IF(AND(P71='G-1 All Habitats'!$X$3,Y71="Yes"),"Alternative Compensation ✓",IF(W71=0,0,IF(P71='G-1 All Habitats'!$X$3,"Any Loss Unacceptable ▲",Q71-U71-V71)))))),"Check Data ▲")</f>
        <v/>
      </c>
      <c r="Y71" s="55"/>
      <c r="Z71" s="62"/>
      <c r="AA71" s="526"/>
      <c r="AB71" s="120"/>
      <c r="AC71" s="726" t="str">
        <f>IF(P71="","",IF(P71='G-1 All Habitats'!$X$3,H71-S71-T71,"None"))</f>
        <v/>
      </c>
      <c r="AD71" s="727" t="str">
        <f>IF(P71="","", IF(P71='G-1 All Habitats'!$X$3, AC71*J71*L71*O71,"None"))</f>
        <v/>
      </c>
      <c r="AF71" s="40" t="str">
        <f t="shared" si="0"/>
        <v/>
      </c>
      <c r="AG71" s="40" t="str">
        <f t="shared" si="1"/>
        <v/>
      </c>
      <c r="AH71" s="40" t="str">
        <f>IF(I71="","",IF(#REF!&gt;0,TRUE,FALSE))</f>
        <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x14ac:dyDescent="0.25">
      <c r="A72" s="35" t="str">
        <f>IFERROR(INDEX('G-1 All Habitats'!$AG$3:$AG$17,MATCH(E72,'G-1 All Habitats'!$AF$3:$AF$17,0)),"")</f>
        <v/>
      </c>
      <c r="B72" s="35" t="str">
        <f>IFERROR(INDEX('G-8 Condition Look up'!$I$4:$I$135,MATCH(G72,'G-8 Condition Look up'!$A$4:$A$135,0)),"")</f>
        <v/>
      </c>
      <c r="D72" s="287">
        <v>62</v>
      </c>
      <c r="E72" s="267"/>
      <c r="F72" s="61"/>
      <c r="G72" s="52" t="str">
        <f>IFERROR(INDEX('G-1 All Habitats'!$B$3:$B$134,MATCH(F72,'G-1 All Habitats'!$A$3:$A$134,0)),"")</f>
        <v/>
      </c>
      <c r="H72" s="53"/>
      <c r="I72" s="362" t="str">
        <f>IF(G72="","",VLOOKUP(G72,'G-1 All Habitats'!$B$2:$M$134,10,FALSE))</f>
        <v/>
      </c>
      <c r="J72" s="363" t="str">
        <f>IFERROR(VLOOKUP(I72,'G-1 All Habitats'!$V$3:$W$7,2,FALSE),"")</f>
        <v/>
      </c>
      <c r="K72" s="54"/>
      <c r="L72" s="363" t="str">
        <f>IFERROR(INDEX('G-8 Condition Look up'!$A$3:$H$135,MATCH(G72,'G-8 Condition Look up'!$A$3:$A$135,0),MATCH(K72,'G-8 Condition Look up'!$A$3:$H$3,0)),"")</f>
        <v/>
      </c>
      <c r="M72" s="54"/>
      <c r="N72" s="382" t="str">
        <f>IF(M72="","",IF(VLOOKUP(M72,'G-3 Multipliers'!$L$3:$N$6,2,FALSE)=0,"Spatial Data Missing",VLOOKUP(M72,'G-3 Multipliers'!$L$3:$N$6,2,FALSE)))</f>
        <v/>
      </c>
      <c r="O72" s="368" t="str">
        <f>IF(M72="","",IF(VLOOKUP(M72,'G-3 Multipliers'!$L$3:$N$6,3,FALSE)=0,"Spatial Data Missing ▲",VLOOKUP(M72,'G-3 Multipliers'!$L$3:$N$6,3,FALSE)))</f>
        <v/>
      </c>
      <c r="P72" s="369" t="str">
        <f>IFERROR(VLOOKUP(G72,'G-1 All Habitats'!$B$2:$M$134,12,FALSE),"")</f>
        <v/>
      </c>
      <c r="Q72" s="376" t="str">
        <f>IFERROR(IF(P72="","",IF(AND(P72='G-1 All Habitats'!$X$3,T72&gt;0),U72+V72,IF(AND(P72='G-1 All Habitats'!$X$3,S72&gt;0),U72+V72,IF(AND(P72='G-1 All Habitats'!$X$3,AC72&gt;0),"Any Loss Unacceptable ⚠",IF(AND(P72='G-1 All Habitats'!$X$3,W72&gt;0),"Any Loss Unacceptable ⚠",H72*J72*L72*O72))))),"Check Data ▲")</f>
        <v/>
      </c>
      <c r="R72" s="38"/>
      <c r="S72" s="54"/>
      <c r="T72" s="55"/>
      <c r="U72" s="374" t="str">
        <f t="shared" si="3"/>
        <v/>
      </c>
      <c r="V72" s="374" t="str">
        <f t="shared" si="4"/>
        <v/>
      </c>
      <c r="W72" s="374" t="str">
        <f>IF(E72="","",IF(H72&lt;S72+T72,"Error in Areas ▲",IF(P72&lt;&gt;'G-1 All Habitats'!$X$3,H72-S72-T72,IF(AND(P72='G-1 All Habitats'!$X$3,Y72="Yes"),"Unacceptable Loss ⚠",IF(AND(P72='G-1 All Habitats'!$X$3,Y72="No"),AC72,IF(AND(P72='G-1 All Habitats'!$X$3,Y72=""),AC72,IF(AND(P72='G-1 All Habitats'!$X$3,AC72="None",AC72),IF(AND(P72='G-1 All Habitats'!$X$3,AC72&gt;0),H72-S72-T72))))))))</f>
        <v/>
      </c>
      <c r="X72" s="378" t="str">
        <f>IFERROR(IF(H72="","",IF(H72-S72-T72=0&lt;0,"Error in Areas ▲",IF(S72+T72&gt;H72,"Error in Areas ▲",IF(AND(P72='G-1 All Habitats'!$X$3,Y72="Yes"),"Alternative Compensation ✓",IF(W72=0,0,IF(P72='G-1 All Habitats'!$X$3,"Any Loss Unacceptable ▲",Q72-U72-V72)))))),"Check Data ▲")</f>
        <v/>
      </c>
      <c r="Y72" s="55"/>
      <c r="Z72" s="62"/>
      <c r="AA72" s="526"/>
      <c r="AB72" s="120"/>
      <c r="AC72" s="726" t="str">
        <f>IF(P72="","",IF(P72='G-1 All Habitats'!$X$3,H72-S72-T72,"None"))</f>
        <v/>
      </c>
      <c r="AD72" s="727" t="str">
        <f>IF(P72="","", IF(P72='G-1 All Habitats'!$X$3, AC72*J72*L72*O72,"None"))</f>
        <v/>
      </c>
      <c r="AF72" s="40" t="str">
        <f t="shared" si="0"/>
        <v/>
      </c>
      <c r="AG72" s="40" t="str">
        <f t="shared" si="1"/>
        <v/>
      </c>
      <c r="AH72" s="40" t="str">
        <f>IF(I72="","",IF(#REF!&gt;0,TRUE,FALSE))</f>
        <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x14ac:dyDescent="0.25">
      <c r="A73" s="35" t="str">
        <f>IFERROR(INDEX('G-1 All Habitats'!$AG$3:$AG$17,MATCH(E73,'G-1 All Habitats'!$AF$3:$AF$17,0)),"")</f>
        <v/>
      </c>
      <c r="B73" s="35" t="str">
        <f>IFERROR(INDEX('G-8 Condition Look up'!$I$4:$I$135,MATCH(G73,'G-8 Condition Look up'!$A$4:$A$135,0)),"")</f>
        <v/>
      </c>
      <c r="D73" s="287">
        <v>63</v>
      </c>
      <c r="E73" s="267"/>
      <c r="F73" s="61"/>
      <c r="G73" s="52" t="str">
        <f>IFERROR(INDEX('G-1 All Habitats'!$B$3:$B$134,MATCH(F73,'G-1 All Habitats'!$A$3:$A$134,0)),"")</f>
        <v/>
      </c>
      <c r="H73" s="53"/>
      <c r="I73" s="362" t="str">
        <f>IF(G73="","",VLOOKUP(G73,'G-1 All Habitats'!$B$2:$M$134,10,FALSE))</f>
        <v/>
      </c>
      <c r="J73" s="363" t="str">
        <f>IFERROR(VLOOKUP(I73,'G-1 All Habitats'!$V$3:$W$7,2,FALSE),"")</f>
        <v/>
      </c>
      <c r="K73" s="54"/>
      <c r="L73" s="363" t="str">
        <f>IFERROR(INDEX('G-8 Condition Look up'!$A$3:$H$135,MATCH(G73,'G-8 Condition Look up'!$A$3:$A$135,0),MATCH(K73,'G-8 Condition Look up'!$A$3:$H$3,0)),"")</f>
        <v/>
      </c>
      <c r="M73" s="54"/>
      <c r="N73" s="382" t="str">
        <f>IF(M73="","",IF(VLOOKUP(M73,'G-3 Multipliers'!$L$3:$N$6,2,FALSE)=0,"Spatial Data Missing",VLOOKUP(M73,'G-3 Multipliers'!$L$3:$N$6,2,FALSE)))</f>
        <v/>
      </c>
      <c r="O73" s="368" t="str">
        <f>IF(M73="","",IF(VLOOKUP(M73,'G-3 Multipliers'!$L$3:$N$6,3,FALSE)=0,"Spatial Data Missing ▲",VLOOKUP(M73,'G-3 Multipliers'!$L$3:$N$6,3,FALSE)))</f>
        <v/>
      </c>
      <c r="P73" s="369" t="str">
        <f>IFERROR(VLOOKUP(G73,'G-1 All Habitats'!$B$2:$M$134,12,FALSE),"")</f>
        <v/>
      </c>
      <c r="Q73" s="376" t="str">
        <f>IFERROR(IF(P73="","",IF(AND(P73='G-1 All Habitats'!$X$3,T73&gt;0),U73+V73,IF(AND(P73='G-1 All Habitats'!$X$3,S73&gt;0),U73+V73,IF(AND(P73='G-1 All Habitats'!$X$3,AC73&gt;0),"Any Loss Unacceptable ⚠",IF(AND(P73='G-1 All Habitats'!$X$3,W73&gt;0),"Any Loss Unacceptable ⚠",H73*J73*L73*O73))))),"Check Data ▲")</f>
        <v/>
      </c>
      <c r="R73" s="38"/>
      <c r="S73" s="54"/>
      <c r="T73" s="55"/>
      <c r="U73" s="374" t="str">
        <f t="shared" si="3"/>
        <v/>
      </c>
      <c r="V73" s="374" t="str">
        <f t="shared" si="4"/>
        <v/>
      </c>
      <c r="W73" s="374" t="str">
        <f>IF(E73="","",IF(H73&lt;S73+T73,"Error in Areas ▲",IF(P73&lt;&gt;'G-1 All Habitats'!$X$3,H73-S73-T73,IF(AND(P73='G-1 All Habitats'!$X$3,Y73="Yes"),"Unacceptable Loss ⚠",IF(AND(P73='G-1 All Habitats'!$X$3,Y73="No"),AC73,IF(AND(P73='G-1 All Habitats'!$X$3,Y73=""),AC73,IF(AND(P73='G-1 All Habitats'!$X$3,AC73="None",AC73),IF(AND(P73='G-1 All Habitats'!$X$3,AC73&gt;0),H73-S73-T73))))))))</f>
        <v/>
      </c>
      <c r="X73" s="378" t="str">
        <f>IFERROR(IF(H73="","",IF(H73-S73-T73=0&lt;0,"Error in Areas ▲",IF(S73+T73&gt;H73,"Error in Areas ▲",IF(AND(P73='G-1 All Habitats'!$X$3,Y73="Yes"),"Alternative Compensation ✓",IF(W73=0,0,IF(P73='G-1 All Habitats'!$X$3,"Any Loss Unacceptable ▲",Q73-U73-V73)))))),"Check Data ▲")</f>
        <v/>
      </c>
      <c r="Y73" s="55"/>
      <c r="Z73" s="62"/>
      <c r="AA73" s="526"/>
      <c r="AB73" s="120"/>
      <c r="AC73" s="726" t="str">
        <f>IF(P73="","",IF(P73='G-1 All Habitats'!$X$3,H73-S73-T73,"None"))</f>
        <v/>
      </c>
      <c r="AD73" s="727" t="str">
        <f>IF(P73="","", IF(P73='G-1 All Habitats'!$X$3, AC73*J73*L73*O73,"None"))</f>
        <v/>
      </c>
      <c r="AF73" s="40" t="str">
        <f t="shared" si="0"/>
        <v/>
      </c>
      <c r="AG73" s="40" t="str">
        <f t="shared" si="1"/>
        <v/>
      </c>
      <c r="AH73" s="40" t="str">
        <f>IF(I73="","",IF(#REF!&gt;0,TRUE,FALSE))</f>
        <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x14ac:dyDescent="0.25">
      <c r="A74" s="35" t="str">
        <f>IFERROR(INDEX('G-1 All Habitats'!$AG$3:$AG$17,MATCH(E74,'G-1 All Habitats'!$AF$3:$AF$17,0)),"")</f>
        <v/>
      </c>
      <c r="B74" s="35" t="str">
        <f>IFERROR(INDEX('G-8 Condition Look up'!$I$4:$I$135,MATCH(G74,'G-8 Condition Look up'!$A$4:$A$135,0)),"")</f>
        <v/>
      </c>
      <c r="D74" s="287">
        <v>64</v>
      </c>
      <c r="E74" s="267"/>
      <c r="F74" s="61"/>
      <c r="G74" s="52" t="str">
        <f>IFERROR(INDEX('G-1 All Habitats'!$B$3:$B$134,MATCH(F74,'G-1 All Habitats'!$A$3:$A$134,0)),"")</f>
        <v/>
      </c>
      <c r="H74" s="53"/>
      <c r="I74" s="362" t="str">
        <f>IF(G74="","",VLOOKUP(G74,'G-1 All Habitats'!$B$2:$M$134,10,FALSE))</f>
        <v/>
      </c>
      <c r="J74" s="363" t="str">
        <f>IFERROR(VLOOKUP(I74,'G-1 All Habitats'!$V$3:$W$7,2,FALSE),"")</f>
        <v/>
      </c>
      <c r="K74" s="54"/>
      <c r="L74" s="363" t="str">
        <f>IFERROR(INDEX('G-8 Condition Look up'!$A$3:$H$135,MATCH(G74,'G-8 Condition Look up'!$A$3:$A$135,0),MATCH(K74,'G-8 Condition Look up'!$A$3:$H$3,0)),"")</f>
        <v/>
      </c>
      <c r="M74" s="54"/>
      <c r="N74" s="382" t="str">
        <f>IF(M74="","",IF(VLOOKUP(M74,'G-3 Multipliers'!$L$3:$N$6,2,FALSE)=0,"Spatial Data Missing",VLOOKUP(M74,'G-3 Multipliers'!$L$3:$N$6,2,FALSE)))</f>
        <v/>
      </c>
      <c r="O74" s="368" t="str">
        <f>IF(M74="","",IF(VLOOKUP(M74,'G-3 Multipliers'!$L$3:$N$6,3,FALSE)=0,"Spatial Data Missing ▲",VLOOKUP(M74,'G-3 Multipliers'!$L$3:$N$6,3,FALSE)))</f>
        <v/>
      </c>
      <c r="P74" s="369" t="str">
        <f>IFERROR(VLOOKUP(G74,'G-1 All Habitats'!$B$2:$M$134,12,FALSE),"")</f>
        <v/>
      </c>
      <c r="Q74" s="376" t="str">
        <f>IFERROR(IF(P74="","",IF(AND(P74='G-1 All Habitats'!$X$3,T74&gt;0),U74+V74,IF(AND(P74='G-1 All Habitats'!$X$3,S74&gt;0),U74+V74,IF(AND(P74='G-1 All Habitats'!$X$3,AC74&gt;0),"Any Loss Unacceptable ⚠",IF(AND(P74='G-1 All Habitats'!$X$3,W74&gt;0),"Any Loss Unacceptable ⚠",H74*J74*L74*O74))))),"Check Data ▲")</f>
        <v/>
      </c>
      <c r="R74" s="38"/>
      <c r="S74" s="54"/>
      <c r="T74" s="55"/>
      <c r="U74" s="374" t="str">
        <f t="shared" si="3"/>
        <v/>
      </c>
      <c r="V74" s="374" t="str">
        <f t="shared" si="4"/>
        <v/>
      </c>
      <c r="W74" s="374" t="str">
        <f>IF(E74="","",IF(H74&lt;S74+T74,"Error in Areas ▲",IF(P74&lt;&gt;'G-1 All Habitats'!$X$3,H74-S74-T74,IF(AND(P74='G-1 All Habitats'!$X$3,Y74="Yes"),"Unacceptable Loss ⚠",IF(AND(P74='G-1 All Habitats'!$X$3,Y74="No"),AC74,IF(AND(P74='G-1 All Habitats'!$X$3,Y74=""),AC74,IF(AND(P74='G-1 All Habitats'!$X$3,AC74="None",AC74),IF(AND(P74='G-1 All Habitats'!$X$3,AC74&gt;0),H74-S74-T74))))))))</f>
        <v/>
      </c>
      <c r="X74" s="378" t="str">
        <f>IFERROR(IF(H74="","",IF(H74-S74-T74=0&lt;0,"Error in Areas ▲",IF(S74+T74&gt;H74,"Error in Areas ▲",IF(AND(P74='G-1 All Habitats'!$X$3,Y74="Yes"),"Alternative Compensation ✓",IF(W74=0,0,IF(P74='G-1 All Habitats'!$X$3,"Any Loss Unacceptable ▲",Q74-U74-V74)))))),"Check Data ▲")</f>
        <v/>
      </c>
      <c r="Y74" s="55"/>
      <c r="Z74" s="62"/>
      <c r="AA74" s="526"/>
      <c r="AB74" s="120"/>
      <c r="AC74" s="726" t="str">
        <f>IF(P74="","",IF(P74='G-1 All Habitats'!$X$3,H74-S74-T74,"None"))</f>
        <v/>
      </c>
      <c r="AD74" s="727" t="str">
        <f>IF(P74="","", IF(P74='G-1 All Habitats'!$X$3, AC74*J74*L74*O74,"None"))</f>
        <v/>
      </c>
      <c r="AF74" s="40" t="str">
        <f t="shared" si="0"/>
        <v/>
      </c>
      <c r="AG74" s="40" t="str">
        <f t="shared" si="1"/>
        <v/>
      </c>
      <c r="AH74" s="40" t="str">
        <f>IF(I74="","",IF(#REF!&gt;0,TRUE,FALSE))</f>
        <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x14ac:dyDescent="0.25">
      <c r="A75" s="35" t="str">
        <f>IFERROR(INDEX('G-1 All Habitats'!$AG$3:$AG$17,MATCH(E75,'G-1 All Habitats'!$AF$3:$AF$17,0)),"")</f>
        <v/>
      </c>
      <c r="B75" s="35" t="str">
        <f>IFERROR(INDEX('G-8 Condition Look up'!$I$4:$I$135,MATCH(G75,'G-8 Condition Look up'!$A$4:$A$135,0)),"")</f>
        <v/>
      </c>
      <c r="D75" s="287">
        <v>65</v>
      </c>
      <c r="E75" s="267"/>
      <c r="F75" s="61"/>
      <c r="G75" s="52" t="str">
        <f>IFERROR(INDEX('G-1 All Habitats'!$B$3:$B$134,MATCH(F75,'G-1 All Habitats'!$A$3:$A$134,0)),"")</f>
        <v/>
      </c>
      <c r="H75" s="53"/>
      <c r="I75" s="362" t="str">
        <f>IF(G75="","",VLOOKUP(G75,'G-1 All Habitats'!$B$2:$M$134,10,FALSE))</f>
        <v/>
      </c>
      <c r="J75" s="363" t="str">
        <f>IFERROR(VLOOKUP(I75,'G-1 All Habitats'!$V$3:$W$7,2,FALSE),"")</f>
        <v/>
      </c>
      <c r="K75" s="54"/>
      <c r="L75" s="363" t="str">
        <f>IFERROR(INDEX('G-8 Condition Look up'!$A$3:$H$135,MATCH(G75,'G-8 Condition Look up'!$A$3:$A$135,0),MATCH(K75,'G-8 Condition Look up'!$A$3:$H$3,0)),"")</f>
        <v/>
      </c>
      <c r="M75" s="54"/>
      <c r="N75" s="382" t="str">
        <f>IF(M75="","",IF(VLOOKUP(M75,'G-3 Multipliers'!$L$3:$N$6,2,FALSE)=0,"Spatial Data Missing",VLOOKUP(M75,'G-3 Multipliers'!$L$3:$N$6,2,FALSE)))</f>
        <v/>
      </c>
      <c r="O75" s="368" t="str">
        <f>IF(M75="","",IF(VLOOKUP(M75,'G-3 Multipliers'!$L$3:$N$6,3,FALSE)=0,"Spatial Data Missing ▲",VLOOKUP(M75,'G-3 Multipliers'!$L$3:$N$6,3,FALSE)))</f>
        <v/>
      </c>
      <c r="P75" s="369" t="str">
        <f>IFERROR(VLOOKUP(G75,'G-1 All Habitats'!$B$2:$M$134,12,FALSE),"")</f>
        <v/>
      </c>
      <c r="Q75" s="376" t="str">
        <f>IFERROR(IF(P75="","",IF(AND(P75='G-1 All Habitats'!$X$3,T75&gt;0),U75+V75,IF(AND(P75='G-1 All Habitats'!$X$3,S75&gt;0),U75+V75,IF(AND(P75='G-1 All Habitats'!$X$3,AC75&gt;0),"Any Loss Unacceptable ⚠",IF(AND(P75='G-1 All Habitats'!$X$3,W75&gt;0),"Any Loss Unacceptable ⚠",H75*J75*L75*O75))))),"Check Data ▲")</f>
        <v/>
      </c>
      <c r="R75" s="38"/>
      <c r="S75" s="54"/>
      <c r="T75" s="55"/>
      <c r="U75" s="374" t="str">
        <f t="shared" si="3"/>
        <v/>
      </c>
      <c r="V75" s="374" t="str">
        <f t="shared" si="4"/>
        <v/>
      </c>
      <c r="W75" s="374" t="str">
        <f>IF(E75="","",IF(H75&lt;S75+T75,"Error in Areas ▲",IF(P75&lt;&gt;'G-1 All Habitats'!$X$3,H75-S75-T75,IF(AND(P75='G-1 All Habitats'!$X$3,Y75="Yes"),"Unacceptable Loss ⚠",IF(AND(P75='G-1 All Habitats'!$X$3,Y75="No"),AC75,IF(AND(P75='G-1 All Habitats'!$X$3,Y75=""),AC75,IF(AND(P75='G-1 All Habitats'!$X$3,AC75="None",AC75),IF(AND(P75='G-1 All Habitats'!$X$3,AC75&gt;0),H75-S75-T75))))))))</f>
        <v/>
      </c>
      <c r="X75" s="378" t="str">
        <f>IFERROR(IF(H75="","",IF(H75-S75-T75=0&lt;0,"Error in Areas ▲",IF(S75+T75&gt;H75,"Error in Areas ▲",IF(AND(P75='G-1 All Habitats'!$X$3,Y75="Yes"),"Alternative Compensation ✓",IF(W75=0,0,IF(P75='G-1 All Habitats'!$X$3,"Any Loss Unacceptable ▲",Q75-U75-V75)))))),"Check Data ▲")</f>
        <v/>
      </c>
      <c r="Y75" s="55"/>
      <c r="Z75" s="62"/>
      <c r="AA75" s="526"/>
      <c r="AB75" s="120"/>
      <c r="AC75" s="726" t="str">
        <f>IF(P75="","",IF(P75='G-1 All Habitats'!$X$3,H75-S75-T75,"None"))</f>
        <v/>
      </c>
      <c r="AD75" s="727" t="str">
        <f>IF(P75="","", IF(P75='G-1 All Habitats'!$X$3, AC75*J75*L75*O75,"None"))</f>
        <v/>
      </c>
      <c r="AF75" s="40" t="str">
        <f t="shared" ref="AF75:AF138" si="5">IF(G75="","",IF(S75&gt;0,TRUE,FALSE))</f>
        <v/>
      </c>
      <c r="AG75" s="40" t="str">
        <f t="shared" ref="AG75:AG138" si="6">IF(H75="","",IF(T75&gt;0,TRUE,FALSE))</f>
        <v/>
      </c>
      <c r="AH75" s="40" t="str">
        <f>IF(I75="","",IF(#REF!&gt;0,TRUE,FALSE))</f>
        <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x14ac:dyDescent="0.25">
      <c r="A76" s="35" t="str">
        <f>IFERROR(INDEX('G-1 All Habitats'!$AG$3:$AG$17,MATCH(E76,'G-1 All Habitats'!$AF$3:$AF$17,0)),"")</f>
        <v/>
      </c>
      <c r="B76" s="35" t="str">
        <f>IFERROR(INDEX('G-8 Condition Look up'!$I$4:$I$135,MATCH(G76,'G-8 Condition Look up'!$A$4:$A$135,0)),"")</f>
        <v/>
      </c>
      <c r="D76" s="287">
        <v>66</v>
      </c>
      <c r="E76" s="267"/>
      <c r="F76" s="61"/>
      <c r="G76" s="52" t="str">
        <f>IFERROR(INDEX('G-1 All Habitats'!$B$3:$B$134,MATCH(F76,'G-1 All Habitats'!$A$3:$A$134,0)),"")</f>
        <v/>
      </c>
      <c r="H76" s="53"/>
      <c r="I76" s="362" t="str">
        <f>IF(G76="","",VLOOKUP(G76,'G-1 All Habitats'!$B$2:$M$134,10,FALSE))</f>
        <v/>
      </c>
      <c r="J76" s="363" t="str">
        <f>IFERROR(VLOOKUP(I76,'G-1 All Habitats'!$V$3:$W$7,2,FALSE),"")</f>
        <v/>
      </c>
      <c r="K76" s="54"/>
      <c r="L76" s="363" t="str">
        <f>IFERROR(INDEX('G-8 Condition Look up'!$A$3:$H$135,MATCH(G76,'G-8 Condition Look up'!$A$3:$A$135,0),MATCH(K76,'G-8 Condition Look up'!$A$3:$H$3,0)),"")</f>
        <v/>
      </c>
      <c r="M76" s="54"/>
      <c r="N76" s="382" t="str">
        <f>IF(M76="","",IF(VLOOKUP(M76,'G-3 Multipliers'!$L$3:$N$6,2,FALSE)=0,"Spatial Data Missing",VLOOKUP(M76,'G-3 Multipliers'!$L$3:$N$6,2,FALSE)))</f>
        <v/>
      </c>
      <c r="O76" s="368" t="str">
        <f>IF(M76="","",IF(VLOOKUP(M76,'G-3 Multipliers'!$L$3:$N$6,3,FALSE)=0,"Spatial Data Missing ▲",VLOOKUP(M76,'G-3 Multipliers'!$L$3:$N$6,3,FALSE)))</f>
        <v/>
      </c>
      <c r="P76" s="369" t="str">
        <f>IFERROR(VLOOKUP(G76,'G-1 All Habitats'!$B$2:$M$134,12,FALSE),"")</f>
        <v/>
      </c>
      <c r="Q76" s="376" t="str">
        <f>IFERROR(IF(P76="","",IF(AND(P76='G-1 All Habitats'!$X$3,T76&gt;0),U76+V76,IF(AND(P76='G-1 All Habitats'!$X$3,S76&gt;0),U76+V76,IF(AND(P76='G-1 All Habitats'!$X$3,AC76&gt;0),"Any Loss Unacceptable ⚠",IF(AND(P76='G-1 All Habitats'!$X$3,W76&gt;0),"Any Loss Unacceptable ⚠",H76*J76*L76*O76))))),"Check Data ▲")</f>
        <v/>
      </c>
      <c r="R76" s="38"/>
      <c r="S76" s="54"/>
      <c r="T76" s="55"/>
      <c r="U76" s="374" t="str">
        <f t="shared" si="3"/>
        <v/>
      </c>
      <c r="V76" s="374" t="str">
        <f t="shared" si="4"/>
        <v/>
      </c>
      <c r="W76" s="374" t="str">
        <f>IF(E76="","",IF(H76&lt;S76+T76,"Error in Areas ▲",IF(P76&lt;&gt;'G-1 All Habitats'!$X$3,H76-S76-T76,IF(AND(P76='G-1 All Habitats'!$X$3,Y76="Yes"),"Unacceptable Loss ⚠",IF(AND(P76='G-1 All Habitats'!$X$3,Y76="No"),AC76,IF(AND(P76='G-1 All Habitats'!$X$3,Y76=""),AC76,IF(AND(P76='G-1 All Habitats'!$X$3,AC76="None",AC76),IF(AND(P76='G-1 All Habitats'!$X$3,AC76&gt;0),H76-S76-T76))))))))</f>
        <v/>
      </c>
      <c r="X76" s="378" t="str">
        <f>IFERROR(IF(H76="","",IF(H76-S76-T76=0&lt;0,"Error in Areas ▲",IF(S76+T76&gt;H76,"Error in Areas ▲",IF(AND(P76='G-1 All Habitats'!$X$3,Y76="Yes"),"Alternative Compensation ✓",IF(W76=0,0,IF(P76='G-1 All Habitats'!$X$3,"Any Loss Unacceptable ▲",Q76-U76-V76)))))),"Check Data ▲")</f>
        <v/>
      </c>
      <c r="Y76" s="55"/>
      <c r="Z76" s="62"/>
      <c r="AA76" s="526"/>
      <c r="AB76" s="120"/>
      <c r="AC76" s="726" t="str">
        <f>IF(P76="","",IF(P76='G-1 All Habitats'!$X$3,H76-S76-T76,"None"))</f>
        <v/>
      </c>
      <c r="AD76" s="727" t="str">
        <f>IF(P76="","", IF(P76='G-1 All Habitats'!$X$3, AC76*J76*L76*O76,"None"))</f>
        <v/>
      </c>
      <c r="AF76" s="40" t="str">
        <f t="shared" si="5"/>
        <v/>
      </c>
      <c r="AG76" s="40" t="str">
        <f t="shared" si="6"/>
        <v/>
      </c>
      <c r="AH76" s="40" t="str">
        <f>IF(I76="","",IF(#REF!&gt;0,TRUE,FALSE))</f>
        <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x14ac:dyDescent="0.25">
      <c r="A77" s="35" t="str">
        <f>IFERROR(INDEX('G-1 All Habitats'!$AG$3:$AG$17,MATCH(E77,'G-1 All Habitats'!$AF$3:$AF$17,0)),"")</f>
        <v/>
      </c>
      <c r="B77" s="35" t="str">
        <f>IFERROR(INDEX('G-8 Condition Look up'!$I$4:$I$135,MATCH(G77,'G-8 Condition Look up'!$A$4:$A$135,0)),"")</f>
        <v/>
      </c>
      <c r="D77" s="287">
        <v>67</v>
      </c>
      <c r="E77" s="267"/>
      <c r="F77" s="61"/>
      <c r="G77" s="52" t="str">
        <f>IFERROR(INDEX('G-1 All Habitats'!$B$3:$B$134,MATCH(F77,'G-1 All Habitats'!$A$3:$A$134,0)),"")</f>
        <v/>
      </c>
      <c r="H77" s="53"/>
      <c r="I77" s="362" t="str">
        <f>IF(G77="","",VLOOKUP(G77,'G-1 All Habitats'!$B$2:$M$134,10,FALSE))</f>
        <v/>
      </c>
      <c r="J77" s="363" t="str">
        <f>IFERROR(VLOOKUP(I77,'G-1 All Habitats'!$V$3:$W$7,2,FALSE),"")</f>
        <v/>
      </c>
      <c r="K77" s="54"/>
      <c r="L77" s="363" t="str">
        <f>IFERROR(INDEX('G-8 Condition Look up'!$A$3:$H$135,MATCH(G77,'G-8 Condition Look up'!$A$3:$A$135,0),MATCH(K77,'G-8 Condition Look up'!$A$3:$H$3,0)),"")</f>
        <v/>
      </c>
      <c r="M77" s="54"/>
      <c r="N77" s="382" t="str">
        <f>IF(M77="","",IF(VLOOKUP(M77,'G-3 Multipliers'!$L$3:$N$6,2,FALSE)=0,"Spatial Data Missing",VLOOKUP(M77,'G-3 Multipliers'!$L$3:$N$6,2,FALSE)))</f>
        <v/>
      </c>
      <c r="O77" s="368" t="str">
        <f>IF(M77="","",IF(VLOOKUP(M77,'G-3 Multipliers'!$L$3:$N$6,3,FALSE)=0,"Spatial Data Missing ▲",VLOOKUP(M77,'G-3 Multipliers'!$L$3:$N$6,3,FALSE)))</f>
        <v/>
      </c>
      <c r="P77" s="369" t="str">
        <f>IFERROR(VLOOKUP(G77,'G-1 All Habitats'!$B$2:$M$134,12,FALSE),"")</f>
        <v/>
      </c>
      <c r="Q77" s="376" t="str">
        <f>IFERROR(IF(P77="","",IF(AND(P77='G-1 All Habitats'!$X$3,T77&gt;0),U77+V77,IF(AND(P77='G-1 All Habitats'!$X$3,S77&gt;0),U77+V77,IF(AND(P77='G-1 All Habitats'!$X$3,AC77&gt;0),"Any Loss Unacceptable ⚠",IF(AND(P77='G-1 All Habitats'!$X$3,W77&gt;0),"Any Loss Unacceptable ⚠",H77*J77*L77*O77))))),"Check Data ▲")</f>
        <v/>
      </c>
      <c r="R77" s="38"/>
      <c r="S77" s="54"/>
      <c r="T77" s="55"/>
      <c r="U77" s="374" t="str">
        <f t="shared" ref="U77:U140" si="8">IFERROR(S77*J77*L77*O77,"")</f>
        <v/>
      </c>
      <c r="V77" s="374" t="str">
        <f t="shared" ref="V77:V140" si="9">IFERROR(T77*J77*L77*O77,"")</f>
        <v/>
      </c>
      <c r="W77" s="374" t="str">
        <f>IF(E77="","",IF(H77&lt;S77+T77,"Error in Areas ▲",IF(P77&lt;&gt;'G-1 All Habitats'!$X$3,H77-S77-T77,IF(AND(P77='G-1 All Habitats'!$X$3,Y77="Yes"),"Unacceptable Loss ⚠",IF(AND(P77='G-1 All Habitats'!$X$3,Y77="No"),AC77,IF(AND(P77='G-1 All Habitats'!$X$3,Y77=""),AC77,IF(AND(P77='G-1 All Habitats'!$X$3,AC77="None",AC77),IF(AND(P77='G-1 All Habitats'!$X$3,AC77&gt;0),H77-S77-T77))))))))</f>
        <v/>
      </c>
      <c r="X77" s="378" t="str">
        <f>IFERROR(IF(H77="","",IF(H77-S77-T77=0&lt;0,"Error in Areas ▲",IF(S77+T77&gt;H77,"Error in Areas ▲",IF(AND(P77='G-1 All Habitats'!$X$3,Y77="Yes"),"Alternative Compensation ✓",IF(W77=0,0,IF(P77='G-1 All Habitats'!$X$3,"Any Loss Unacceptable ▲",Q77-U77-V77)))))),"Check Data ▲")</f>
        <v/>
      </c>
      <c r="Y77" s="55"/>
      <c r="Z77" s="62"/>
      <c r="AA77" s="526"/>
      <c r="AB77" s="120"/>
      <c r="AC77" s="726" t="str">
        <f>IF(P77="","",IF(P77='G-1 All Habitats'!$X$3,H77-S77-T77,"None"))</f>
        <v/>
      </c>
      <c r="AD77" s="727" t="str">
        <f>IF(P77="","", IF(P77='G-1 All Habitats'!$X$3, AC77*J77*L77*O77,"None"))</f>
        <v/>
      </c>
      <c r="AF77" s="40" t="str">
        <f t="shared" si="5"/>
        <v/>
      </c>
      <c r="AG77" s="40" t="str">
        <f t="shared" si="6"/>
        <v/>
      </c>
      <c r="AH77" s="40" t="str">
        <f>IF(I77="","",IF(#REF!&gt;0,TRUE,FALSE))</f>
        <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x14ac:dyDescent="0.25">
      <c r="A78" s="35" t="str">
        <f>IFERROR(INDEX('G-1 All Habitats'!$AG$3:$AG$17,MATCH(E78,'G-1 All Habitats'!$AF$3:$AF$17,0)),"")</f>
        <v/>
      </c>
      <c r="B78" s="35" t="str">
        <f>IFERROR(INDEX('G-8 Condition Look up'!$I$4:$I$135,MATCH(G78,'G-8 Condition Look up'!$A$4:$A$135,0)),"")</f>
        <v/>
      </c>
      <c r="D78" s="287">
        <v>68</v>
      </c>
      <c r="E78" s="267"/>
      <c r="F78" s="61"/>
      <c r="G78" s="52" t="str">
        <f>IFERROR(INDEX('G-1 All Habitats'!$B$3:$B$134,MATCH(F78,'G-1 All Habitats'!$A$3:$A$134,0)),"")</f>
        <v/>
      </c>
      <c r="H78" s="53"/>
      <c r="I78" s="362" t="str">
        <f>IF(G78="","",VLOOKUP(G78,'G-1 All Habitats'!$B$2:$M$134,10,FALSE))</f>
        <v/>
      </c>
      <c r="J78" s="363" t="str">
        <f>IFERROR(VLOOKUP(I78,'G-1 All Habitats'!$V$3:$W$7,2,FALSE),"")</f>
        <v/>
      </c>
      <c r="K78" s="54"/>
      <c r="L78" s="363" t="str">
        <f>IFERROR(INDEX('G-8 Condition Look up'!$A$3:$H$135,MATCH(G78,'G-8 Condition Look up'!$A$3:$A$135,0),MATCH(K78,'G-8 Condition Look up'!$A$3:$H$3,0)),"")</f>
        <v/>
      </c>
      <c r="M78" s="54"/>
      <c r="N78" s="382" t="str">
        <f>IF(M78="","",IF(VLOOKUP(M78,'G-3 Multipliers'!$L$3:$N$6,2,FALSE)=0,"Spatial Data Missing",VLOOKUP(M78,'G-3 Multipliers'!$L$3:$N$6,2,FALSE)))</f>
        <v/>
      </c>
      <c r="O78" s="368" t="str">
        <f>IF(M78="","",IF(VLOOKUP(M78,'G-3 Multipliers'!$L$3:$N$6,3,FALSE)=0,"Spatial Data Missing ▲",VLOOKUP(M78,'G-3 Multipliers'!$L$3:$N$6,3,FALSE)))</f>
        <v/>
      </c>
      <c r="P78" s="369" t="str">
        <f>IFERROR(VLOOKUP(G78,'G-1 All Habitats'!$B$2:$M$134,12,FALSE),"")</f>
        <v/>
      </c>
      <c r="Q78" s="376" t="str">
        <f>IFERROR(IF(P78="","",IF(AND(P78='G-1 All Habitats'!$X$3,T78&gt;0),U78+V78,IF(AND(P78='G-1 All Habitats'!$X$3,S78&gt;0),U78+V78,IF(AND(P78='G-1 All Habitats'!$X$3,AC78&gt;0),"Any Loss Unacceptable ⚠",IF(AND(P78='G-1 All Habitats'!$X$3,W78&gt;0),"Any Loss Unacceptable ⚠",H78*J78*L78*O78))))),"Check Data ▲")</f>
        <v/>
      </c>
      <c r="R78" s="38"/>
      <c r="S78" s="54"/>
      <c r="T78" s="55"/>
      <c r="U78" s="374" t="str">
        <f t="shared" si="8"/>
        <v/>
      </c>
      <c r="V78" s="374" t="str">
        <f t="shared" si="9"/>
        <v/>
      </c>
      <c r="W78" s="374" t="str">
        <f>IF(E78="","",IF(H78&lt;S78+T78,"Error in Areas ▲",IF(P78&lt;&gt;'G-1 All Habitats'!$X$3,H78-S78-T78,IF(AND(P78='G-1 All Habitats'!$X$3,Y78="Yes"),"Unacceptable Loss ⚠",IF(AND(P78='G-1 All Habitats'!$X$3,Y78="No"),AC78,IF(AND(P78='G-1 All Habitats'!$X$3,Y78=""),AC78,IF(AND(P78='G-1 All Habitats'!$X$3,AC78="None",AC78),IF(AND(P78='G-1 All Habitats'!$X$3,AC78&gt;0),H78-S78-T78))))))))</f>
        <v/>
      </c>
      <c r="X78" s="378" t="str">
        <f>IFERROR(IF(H78="","",IF(H78-S78-T78=0&lt;0,"Error in Areas ▲",IF(S78+T78&gt;H78,"Error in Areas ▲",IF(AND(P78='G-1 All Habitats'!$X$3,Y78="Yes"),"Alternative Compensation ✓",IF(W78=0,0,IF(P78='G-1 All Habitats'!$X$3,"Any Loss Unacceptable ▲",Q78-U78-V78)))))),"Check Data ▲")</f>
        <v/>
      </c>
      <c r="Y78" s="55"/>
      <c r="Z78" s="62"/>
      <c r="AA78" s="526"/>
      <c r="AB78" s="120"/>
      <c r="AC78" s="726" t="str">
        <f>IF(P78="","",IF(P78='G-1 All Habitats'!$X$3,H78-S78-T78,"None"))</f>
        <v/>
      </c>
      <c r="AD78" s="727" t="str">
        <f>IF(P78="","", IF(P78='G-1 All Habitats'!$X$3, AC78*J78*L78*O78,"None"))</f>
        <v/>
      </c>
      <c r="AF78" s="40" t="str">
        <f t="shared" si="5"/>
        <v/>
      </c>
      <c r="AG78" s="40" t="str">
        <f t="shared" si="6"/>
        <v/>
      </c>
      <c r="AH78" s="40" t="str">
        <f>IF(I78="","",IF(#REF!&gt;0,TRUE,FALSE))</f>
        <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x14ac:dyDescent="0.25">
      <c r="A79" s="35" t="str">
        <f>IFERROR(INDEX('G-1 All Habitats'!$AG$3:$AG$17,MATCH(E79,'G-1 All Habitats'!$AF$3:$AF$17,0)),"")</f>
        <v/>
      </c>
      <c r="B79" s="35" t="str">
        <f>IFERROR(INDEX('G-8 Condition Look up'!$I$4:$I$135,MATCH(G79,'G-8 Condition Look up'!$A$4:$A$135,0)),"")</f>
        <v/>
      </c>
      <c r="D79" s="287">
        <v>69</v>
      </c>
      <c r="E79" s="267"/>
      <c r="F79" s="61"/>
      <c r="G79" s="52" t="str">
        <f>IFERROR(INDEX('G-1 All Habitats'!$B$3:$B$134,MATCH(F79,'G-1 All Habitats'!$A$3:$A$134,0)),"")</f>
        <v/>
      </c>
      <c r="H79" s="53"/>
      <c r="I79" s="362" t="str">
        <f>IF(G79="","",VLOOKUP(G79,'G-1 All Habitats'!$B$2:$M$134,10,FALSE))</f>
        <v/>
      </c>
      <c r="J79" s="363" t="str">
        <f>IFERROR(VLOOKUP(I79,'G-1 All Habitats'!$V$3:$W$7,2,FALSE),"")</f>
        <v/>
      </c>
      <c r="K79" s="54"/>
      <c r="L79" s="363" t="str">
        <f>IFERROR(INDEX('G-8 Condition Look up'!$A$3:$H$135,MATCH(G79,'G-8 Condition Look up'!$A$3:$A$135,0),MATCH(K79,'G-8 Condition Look up'!$A$3:$H$3,0)),"")</f>
        <v/>
      </c>
      <c r="M79" s="54"/>
      <c r="N79" s="382" t="str">
        <f>IF(M79="","",IF(VLOOKUP(M79,'G-3 Multipliers'!$L$3:$N$6,2,FALSE)=0,"Spatial Data Missing",VLOOKUP(M79,'G-3 Multipliers'!$L$3:$N$6,2,FALSE)))</f>
        <v/>
      </c>
      <c r="O79" s="368" t="str">
        <f>IF(M79="","",IF(VLOOKUP(M79,'G-3 Multipliers'!$L$3:$N$6,3,FALSE)=0,"Spatial Data Missing ▲",VLOOKUP(M79,'G-3 Multipliers'!$L$3:$N$6,3,FALSE)))</f>
        <v/>
      </c>
      <c r="P79" s="369" t="str">
        <f>IFERROR(VLOOKUP(G79,'G-1 All Habitats'!$B$2:$M$134,12,FALSE),"")</f>
        <v/>
      </c>
      <c r="Q79" s="376" t="str">
        <f>IFERROR(IF(P79="","",IF(AND(P79='G-1 All Habitats'!$X$3,T79&gt;0),U79+V79,IF(AND(P79='G-1 All Habitats'!$X$3,S79&gt;0),U79+V79,IF(AND(P79='G-1 All Habitats'!$X$3,AC79&gt;0),"Any Loss Unacceptable ⚠",IF(AND(P79='G-1 All Habitats'!$X$3,W79&gt;0),"Any Loss Unacceptable ⚠",H79*J79*L79*O79))))),"Check Data ▲")</f>
        <v/>
      </c>
      <c r="R79" s="38"/>
      <c r="S79" s="54"/>
      <c r="T79" s="55"/>
      <c r="U79" s="374" t="str">
        <f t="shared" si="8"/>
        <v/>
      </c>
      <c r="V79" s="374" t="str">
        <f t="shared" si="9"/>
        <v/>
      </c>
      <c r="W79" s="374" t="str">
        <f>IF(E79="","",IF(H79&lt;S79+T79,"Error in Areas ▲",IF(P79&lt;&gt;'G-1 All Habitats'!$X$3,H79-S79-T79,IF(AND(P79='G-1 All Habitats'!$X$3,Y79="Yes"),"Unacceptable Loss ⚠",IF(AND(P79='G-1 All Habitats'!$X$3,Y79="No"),AC79,IF(AND(P79='G-1 All Habitats'!$X$3,Y79=""),AC79,IF(AND(P79='G-1 All Habitats'!$X$3,AC79="None",AC79),IF(AND(P79='G-1 All Habitats'!$X$3,AC79&gt;0),H79-S79-T79))))))))</f>
        <v/>
      </c>
      <c r="X79" s="378" t="str">
        <f>IFERROR(IF(H79="","",IF(H79-S79-T79=0&lt;0,"Error in Areas ▲",IF(S79+T79&gt;H79,"Error in Areas ▲",IF(AND(P79='G-1 All Habitats'!$X$3,Y79="Yes"),"Alternative Compensation ✓",IF(W79=0,0,IF(P79='G-1 All Habitats'!$X$3,"Any Loss Unacceptable ▲",Q79-U79-V79)))))),"Check Data ▲")</f>
        <v/>
      </c>
      <c r="Y79" s="55"/>
      <c r="Z79" s="62"/>
      <c r="AA79" s="526"/>
      <c r="AB79" s="120"/>
      <c r="AC79" s="726" t="str">
        <f>IF(P79="","",IF(P79='G-1 All Habitats'!$X$3,H79-S79-T79,"None"))</f>
        <v/>
      </c>
      <c r="AD79" s="727" t="str">
        <f>IF(P79="","", IF(P79='G-1 All Habitats'!$X$3, AC79*J79*L79*O79,"None"))</f>
        <v/>
      </c>
      <c r="AF79" s="40" t="str">
        <f t="shared" si="5"/>
        <v/>
      </c>
      <c r="AG79" s="40" t="str">
        <f t="shared" si="6"/>
        <v/>
      </c>
      <c r="AH79" s="40" t="str">
        <f>IF(I79="","",IF(#REF!&gt;0,TRUE,FALSE))</f>
        <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x14ac:dyDescent="0.25">
      <c r="A80" s="35" t="str">
        <f>IFERROR(INDEX('G-1 All Habitats'!$AG$3:$AG$17,MATCH(E80,'G-1 All Habitats'!$AF$3:$AF$17,0)),"")</f>
        <v/>
      </c>
      <c r="B80" s="35" t="str">
        <f>IFERROR(INDEX('G-8 Condition Look up'!$I$4:$I$135,MATCH(G80,'G-8 Condition Look up'!$A$4:$A$135,0)),"")</f>
        <v/>
      </c>
      <c r="D80" s="287">
        <v>70</v>
      </c>
      <c r="E80" s="267"/>
      <c r="F80" s="61"/>
      <c r="G80" s="52" t="str">
        <f>IFERROR(INDEX('G-1 All Habitats'!$B$3:$B$134,MATCH(F80,'G-1 All Habitats'!$A$3:$A$134,0)),"")</f>
        <v/>
      </c>
      <c r="H80" s="53"/>
      <c r="I80" s="362" t="str">
        <f>IF(G80="","",VLOOKUP(G80,'G-1 All Habitats'!$B$2:$M$134,10,FALSE))</f>
        <v/>
      </c>
      <c r="J80" s="363" t="str">
        <f>IFERROR(VLOOKUP(I80,'G-1 All Habitats'!$V$3:$W$7,2,FALSE),"")</f>
        <v/>
      </c>
      <c r="K80" s="54"/>
      <c r="L80" s="363" t="str">
        <f>IFERROR(INDEX('G-8 Condition Look up'!$A$3:$H$135,MATCH(G80,'G-8 Condition Look up'!$A$3:$A$135,0),MATCH(K80,'G-8 Condition Look up'!$A$3:$H$3,0)),"")</f>
        <v/>
      </c>
      <c r="M80" s="54"/>
      <c r="N80" s="382" t="str">
        <f>IF(M80="","",IF(VLOOKUP(M80,'G-3 Multipliers'!$L$3:$N$6,2,FALSE)=0,"Spatial Data Missing",VLOOKUP(M80,'G-3 Multipliers'!$L$3:$N$6,2,FALSE)))</f>
        <v/>
      </c>
      <c r="O80" s="368" t="str">
        <f>IF(M80="","",IF(VLOOKUP(M80,'G-3 Multipliers'!$L$3:$N$6,3,FALSE)=0,"Spatial Data Missing ▲",VLOOKUP(M80,'G-3 Multipliers'!$L$3:$N$6,3,FALSE)))</f>
        <v/>
      </c>
      <c r="P80" s="369" t="str">
        <f>IFERROR(VLOOKUP(G80,'G-1 All Habitats'!$B$2:$M$134,12,FALSE),"")</f>
        <v/>
      </c>
      <c r="Q80" s="376" t="str">
        <f>IFERROR(IF(P80="","",IF(AND(P80='G-1 All Habitats'!$X$3,T80&gt;0),U80+V80,IF(AND(P80='G-1 All Habitats'!$X$3,S80&gt;0),U80+V80,IF(AND(P80='G-1 All Habitats'!$X$3,AC80&gt;0),"Any Loss Unacceptable ⚠",IF(AND(P80='G-1 All Habitats'!$X$3,W80&gt;0),"Any Loss Unacceptable ⚠",H80*J80*L80*O80))))),"Check Data ▲")</f>
        <v/>
      </c>
      <c r="R80" s="38"/>
      <c r="S80" s="54"/>
      <c r="T80" s="55"/>
      <c r="U80" s="374" t="str">
        <f t="shared" si="8"/>
        <v/>
      </c>
      <c r="V80" s="374" t="str">
        <f t="shared" si="9"/>
        <v/>
      </c>
      <c r="W80" s="374" t="str">
        <f>IF(E80="","",IF(H80&lt;S80+T80,"Error in Areas ▲",IF(P80&lt;&gt;'G-1 All Habitats'!$X$3,H80-S80-T80,IF(AND(P80='G-1 All Habitats'!$X$3,Y80="Yes"),"Unacceptable Loss ⚠",IF(AND(P80='G-1 All Habitats'!$X$3,Y80="No"),AC80,IF(AND(P80='G-1 All Habitats'!$X$3,Y80=""),AC80,IF(AND(P80='G-1 All Habitats'!$X$3,AC80="None",AC80),IF(AND(P80='G-1 All Habitats'!$X$3,AC80&gt;0),H80-S80-T80))))))))</f>
        <v/>
      </c>
      <c r="X80" s="378" t="str">
        <f>IFERROR(IF(H80="","",IF(H80-S80-T80=0&lt;0,"Error in Areas ▲",IF(S80+T80&gt;H80,"Error in Areas ▲",IF(AND(P80='G-1 All Habitats'!$X$3,Y80="Yes"),"Alternative Compensation ✓",IF(W80=0,0,IF(P80='G-1 All Habitats'!$X$3,"Any Loss Unacceptable ▲",Q80-U80-V80)))))),"Check Data ▲")</f>
        <v/>
      </c>
      <c r="Y80" s="55"/>
      <c r="Z80" s="62"/>
      <c r="AA80" s="526"/>
      <c r="AB80" s="120"/>
      <c r="AC80" s="726" t="str">
        <f>IF(P80="","",IF(P80='G-1 All Habitats'!$X$3,H80-S80-T80,"None"))</f>
        <v/>
      </c>
      <c r="AD80" s="727" t="str">
        <f>IF(P80="","", IF(P80='G-1 All Habitats'!$X$3, AC80*J80*L80*O80,"None"))</f>
        <v/>
      </c>
      <c r="AF80" s="40" t="str">
        <f t="shared" si="5"/>
        <v/>
      </c>
      <c r="AG80" s="40" t="str">
        <f t="shared" si="6"/>
        <v/>
      </c>
      <c r="AH80" s="40" t="str">
        <f>IF(I80="","",IF(#REF!&gt;0,TRUE,FALSE))</f>
        <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x14ac:dyDescent="0.25">
      <c r="A81" s="35" t="str">
        <f>IFERROR(INDEX('G-1 All Habitats'!$AG$3:$AG$17,MATCH(E81,'G-1 All Habitats'!$AF$3:$AF$17,0)),"")</f>
        <v/>
      </c>
      <c r="B81" s="35" t="str">
        <f>IFERROR(INDEX('G-8 Condition Look up'!$I$4:$I$135,MATCH(G81,'G-8 Condition Look up'!$A$4:$A$135,0)),"")</f>
        <v/>
      </c>
      <c r="D81" s="287">
        <v>71</v>
      </c>
      <c r="E81" s="267"/>
      <c r="F81" s="61"/>
      <c r="G81" s="52" t="str">
        <f>IFERROR(INDEX('G-1 All Habitats'!$B$3:$B$134,MATCH(F81,'G-1 All Habitats'!$A$3:$A$134,0)),"")</f>
        <v/>
      </c>
      <c r="H81" s="53"/>
      <c r="I81" s="362" t="str">
        <f>IF(G81="","",VLOOKUP(G81,'G-1 All Habitats'!$B$2:$M$134,10,FALSE))</f>
        <v/>
      </c>
      <c r="J81" s="363" t="str">
        <f>IFERROR(VLOOKUP(I81,'G-1 All Habitats'!$V$3:$W$7,2,FALSE),"")</f>
        <v/>
      </c>
      <c r="K81" s="54"/>
      <c r="L81" s="363" t="str">
        <f>IFERROR(INDEX('G-8 Condition Look up'!$A$3:$H$135,MATCH(G81,'G-8 Condition Look up'!$A$3:$A$135,0),MATCH(K81,'G-8 Condition Look up'!$A$3:$H$3,0)),"")</f>
        <v/>
      </c>
      <c r="M81" s="54"/>
      <c r="N81" s="382" t="str">
        <f>IF(M81="","",IF(VLOOKUP(M81,'G-3 Multipliers'!$L$3:$N$6,2,FALSE)=0,"Spatial Data Missing",VLOOKUP(M81,'G-3 Multipliers'!$L$3:$N$6,2,FALSE)))</f>
        <v/>
      </c>
      <c r="O81" s="368" t="str">
        <f>IF(M81="","",IF(VLOOKUP(M81,'G-3 Multipliers'!$L$3:$N$6,3,FALSE)=0,"Spatial Data Missing ▲",VLOOKUP(M81,'G-3 Multipliers'!$L$3:$N$6,3,FALSE)))</f>
        <v/>
      </c>
      <c r="P81" s="369" t="str">
        <f>IFERROR(VLOOKUP(G81,'G-1 All Habitats'!$B$2:$M$134,12,FALSE),"")</f>
        <v/>
      </c>
      <c r="Q81" s="376" t="str">
        <f>IFERROR(IF(P81="","",IF(AND(P81='G-1 All Habitats'!$X$3,T81&gt;0),U81+V81,IF(AND(P81='G-1 All Habitats'!$X$3,S81&gt;0),U81+V81,IF(AND(P81='G-1 All Habitats'!$X$3,AC81&gt;0),"Any Loss Unacceptable ⚠",IF(AND(P81='G-1 All Habitats'!$X$3,W81&gt;0),"Any Loss Unacceptable ⚠",H81*J81*L81*O81))))),"Check Data ▲")</f>
        <v/>
      </c>
      <c r="R81" s="38"/>
      <c r="S81" s="54"/>
      <c r="T81" s="55"/>
      <c r="U81" s="374" t="str">
        <f t="shared" si="8"/>
        <v/>
      </c>
      <c r="V81" s="374" t="str">
        <f t="shared" si="9"/>
        <v/>
      </c>
      <c r="W81" s="374" t="str">
        <f>IF(E81="","",IF(H81&lt;S81+T81,"Error in Areas ▲",IF(P81&lt;&gt;'G-1 All Habitats'!$X$3,H81-S81-T81,IF(AND(P81='G-1 All Habitats'!$X$3,Y81="Yes"),"Unacceptable Loss ⚠",IF(AND(P81='G-1 All Habitats'!$X$3,Y81="No"),AC81,IF(AND(P81='G-1 All Habitats'!$X$3,Y81=""),AC81,IF(AND(P81='G-1 All Habitats'!$X$3,AC81="None",AC81),IF(AND(P81='G-1 All Habitats'!$X$3,AC81&gt;0),H81-S81-T81))))))))</f>
        <v/>
      </c>
      <c r="X81" s="378" t="str">
        <f>IFERROR(IF(H81="","",IF(H81-S81-T81=0&lt;0,"Error in Areas ▲",IF(S81+T81&gt;H81,"Error in Areas ▲",IF(AND(P81='G-1 All Habitats'!$X$3,Y81="Yes"),"Alternative Compensation ✓",IF(W81=0,0,IF(P81='G-1 All Habitats'!$X$3,"Any Loss Unacceptable ▲",Q81-U81-V81)))))),"Check Data ▲")</f>
        <v/>
      </c>
      <c r="Y81" s="55"/>
      <c r="Z81" s="62"/>
      <c r="AA81" s="526"/>
      <c r="AB81" s="120"/>
      <c r="AC81" s="726" t="str">
        <f>IF(P81="","",IF(P81='G-1 All Habitats'!$X$3,H81-S81-T81,"None"))</f>
        <v/>
      </c>
      <c r="AD81" s="727" t="str">
        <f>IF(P81="","", IF(P81='G-1 All Habitats'!$X$3, AC81*J81*L81*O81,"None"))</f>
        <v/>
      </c>
      <c r="AF81" s="40" t="str">
        <f t="shared" si="5"/>
        <v/>
      </c>
      <c r="AG81" s="40" t="str">
        <f t="shared" si="6"/>
        <v/>
      </c>
      <c r="AH81" s="40" t="str">
        <f>IF(I81="","",IF(#REF!&gt;0,TRUE,FALSE))</f>
        <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x14ac:dyDescent="0.25">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x14ac:dyDescent="0.25">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x14ac:dyDescent="0.25">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x14ac:dyDescent="0.25">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x14ac:dyDescent="0.25">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x14ac:dyDescent="0.25">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x14ac:dyDescent="0.25">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x14ac:dyDescent="0.25">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x14ac:dyDescent="0.25">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x14ac:dyDescent="0.25">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x14ac:dyDescent="0.25">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x14ac:dyDescent="0.25">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x14ac:dyDescent="0.25">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x14ac:dyDescent="0.25">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x14ac:dyDescent="0.25">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x14ac:dyDescent="0.25">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x14ac:dyDescent="0.25">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x14ac:dyDescent="0.25">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x14ac:dyDescent="0.25">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x14ac:dyDescent="0.25">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x14ac:dyDescent="0.25">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x14ac:dyDescent="0.25">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x14ac:dyDescent="0.25">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x14ac:dyDescent="0.25">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x14ac:dyDescent="0.25">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x14ac:dyDescent="0.25">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x14ac:dyDescent="0.25">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x14ac:dyDescent="0.25">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x14ac:dyDescent="0.25">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x14ac:dyDescent="0.25">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x14ac:dyDescent="0.25">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x14ac:dyDescent="0.25">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x14ac:dyDescent="0.25">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x14ac:dyDescent="0.25">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x14ac:dyDescent="0.25">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x14ac:dyDescent="0.25">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x14ac:dyDescent="0.25">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x14ac:dyDescent="0.25">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x14ac:dyDescent="0.25">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x14ac:dyDescent="0.25">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x14ac:dyDescent="0.25">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x14ac:dyDescent="0.25">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x14ac:dyDescent="0.25">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x14ac:dyDescent="0.25">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x14ac:dyDescent="0.25">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x14ac:dyDescent="0.25">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x14ac:dyDescent="0.25">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x14ac:dyDescent="0.25">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x14ac:dyDescent="0.25">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x14ac:dyDescent="0.25">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x14ac:dyDescent="0.25">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x14ac:dyDescent="0.25">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x14ac:dyDescent="0.25">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x14ac:dyDescent="0.25">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x14ac:dyDescent="0.25">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x14ac:dyDescent="0.25">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x14ac:dyDescent="0.25">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x14ac:dyDescent="0.25">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x14ac:dyDescent="0.25">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x14ac:dyDescent="0.25">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x14ac:dyDescent="0.25">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x14ac:dyDescent="0.25">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x14ac:dyDescent="0.25">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x14ac:dyDescent="0.25">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x14ac:dyDescent="0.25">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x14ac:dyDescent="0.25">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x14ac:dyDescent="0.25">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x14ac:dyDescent="0.25">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x14ac:dyDescent="0.25">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x14ac:dyDescent="0.25">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x14ac:dyDescent="0.25">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x14ac:dyDescent="0.25">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x14ac:dyDescent="0.25">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x14ac:dyDescent="0.25">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x14ac:dyDescent="0.25">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x14ac:dyDescent="0.25">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x14ac:dyDescent="0.25">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x14ac:dyDescent="0.25">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x14ac:dyDescent="0.25">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x14ac:dyDescent="0.25">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x14ac:dyDescent="0.25">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x14ac:dyDescent="0.25">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x14ac:dyDescent="0.25">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x14ac:dyDescent="0.25">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x14ac:dyDescent="0.25">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x14ac:dyDescent="0.25">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x14ac:dyDescent="0.25">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x14ac:dyDescent="0.25">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x14ac:dyDescent="0.25">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x14ac:dyDescent="0.25">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x14ac:dyDescent="0.25">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x14ac:dyDescent="0.25">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x14ac:dyDescent="0.25">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x14ac:dyDescent="0.25">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x14ac:dyDescent="0.25">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x14ac:dyDescent="0.25">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x14ac:dyDescent="0.25">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x14ac:dyDescent="0.25">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x14ac:dyDescent="0.25">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x14ac:dyDescent="0.25">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x14ac:dyDescent="0.25">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x14ac:dyDescent="0.25">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x14ac:dyDescent="0.25">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x14ac:dyDescent="0.25">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x14ac:dyDescent="0.25">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x14ac:dyDescent="0.25">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x14ac:dyDescent="0.25">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x14ac:dyDescent="0.25">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x14ac:dyDescent="0.25">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x14ac:dyDescent="0.25">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x14ac:dyDescent="0.25">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x14ac:dyDescent="0.25">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x14ac:dyDescent="0.25">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x14ac:dyDescent="0.25">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x14ac:dyDescent="0.25">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x14ac:dyDescent="0.25">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x14ac:dyDescent="0.25">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x14ac:dyDescent="0.25">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x14ac:dyDescent="0.25">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x14ac:dyDescent="0.25">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x14ac:dyDescent="0.25">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x14ac:dyDescent="0.25">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x14ac:dyDescent="0.25">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x14ac:dyDescent="0.25">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x14ac:dyDescent="0.25">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x14ac:dyDescent="0.25">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x14ac:dyDescent="0.25">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x14ac:dyDescent="0.25">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x14ac:dyDescent="0.25">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x14ac:dyDescent="0.25">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x14ac:dyDescent="0.25">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x14ac:dyDescent="0.25">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x14ac:dyDescent="0.25">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x14ac:dyDescent="0.25">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x14ac:dyDescent="0.25">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x14ac:dyDescent="0.25">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x14ac:dyDescent="0.25">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x14ac:dyDescent="0.25">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x14ac:dyDescent="0.25">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x14ac:dyDescent="0.25">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x14ac:dyDescent="0.25">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x14ac:dyDescent="0.25">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x14ac:dyDescent="0.25">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x14ac:dyDescent="0.25">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x14ac:dyDescent="0.25">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x14ac:dyDescent="0.25">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x14ac:dyDescent="0.25">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x14ac:dyDescent="0.25">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x14ac:dyDescent="0.25">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x14ac:dyDescent="0.25">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x14ac:dyDescent="0.25">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x14ac:dyDescent="0.25">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x14ac:dyDescent="0.25">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x14ac:dyDescent="0.25">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x14ac:dyDescent="0.25">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x14ac:dyDescent="0.25">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x14ac:dyDescent="0.25">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x14ac:dyDescent="0.25">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x14ac:dyDescent="0.25">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x14ac:dyDescent="0.25">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x14ac:dyDescent="0.25">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x14ac:dyDescent="0.25">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x14ac:dyDescent="0.25">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x14ac:dyDescent="0.25">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x14ac:dyDescent="0.25">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x14ac:dyDescent="0.25">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x14ac:dyDescent="0.25">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x14ac:dyDescent="0.25">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x14ac:dyDescent="0.25">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x14ac:dyDescent="0.25">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x14ac:dyDescent="0.25">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x14ac:dyDescent="0.25">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x14ac:dyDescent="0.25">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x14ac:dyDescent="0.25">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x14ac:dyDescent="0.25">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x14ac:dyDescent="0.25">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4.4" thickBot="1" x14ac:dyDescent="0.3">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4.4" thickBot="1" x14ac:dyDescent="0.3">
      <c r="F259" s="784" t="s">
        <v>304</v>
      </c>
      <c r="H259" s="785">
        <f>IF('Detailed Results'!K40&gt;0,"Error ▲", SUM(H11:H258))</f>
        <v>46.795000000000009</v>
      </c>
      <c r="N259" s="38"/>
      <c r="P259" s="786"/>
      <c r="Q259" s="403">
        <f>IF('Detailed Results'!K40&gt;0,"Error ▲",SUM(Q11:Q258))</f>
        <v>96.691999999999979</v>
      </c>
      <c r="R259" s="65"/>
      <c r="S259" s="800">
        <f>IF('Detailed Results'!$K$40&gt;0,"Error ▲",SUM(S11:S258))</f>
        <v>0.85699999999999998</v>
      </c>
      <c r="T259" s="343">
        <f>IF('Detailed Results'!$K$40&gt;0,"Error ▲",SUM(T11:T258))</f>
        <v>0</v>
      </c>
      <c r="U259" s="343" cm="1">
        <f t="array" ref="U259">IF(OR('Detailed Results'!$K$40&gt;0,W11:W258="Error in Areas ▲"),"Error ▲",SUM(U11:U258))</f>
        <v>5.5839999999999996</v>
      </c>
      <c r="V259" s="343" cm="1">
        <f t="array" ref="V259">IF(OR('Detailed Results'!$K$40&gt;0, W11:W258="Error in Areas ▲"),"Error ▲",SUM(V11:V258))</f>
        <v>0</v>
      </c>
      <c r="W259" s="343">
        <f>IF('Detailed Results'!$K$40&gt;0,"Error ▲",SUM(W11:W258))</f>
        <v>45.938000000000002</v>
      </c>
      <c r="X259" s="403">
        <f>IF('Detailed Results'!$K$40&gt;0,"Error ▲",SUM(X11:X258))</f>
        <v>91.10799999999999</v>
      </c>
      <c r="AQ259" s="41">
        <f>SUM(AQ11:AQ258)</f>
        <v>0</v>
      </c>
    </row>
    <row r="260" spans="1:43" ht="28.5" customHeight="1" thickBot="1" x14ac:dyDescent="0.3">
      <c r="F260" s="729" t="s">
        <v>305</v>
      </c>
      <c r="G260" s="564"/>
      <c r="H260" s="381">
        <f>IF('Detailed Results'!$K$40&gt;0,"Error ▲",SUMIFS($H$11:$H$256,$G$11:$G$256,"&lt;&gt;"&amp;'G-1 All Habitats'!B80,$G$11:$G$256,"&lt;&gt;"&amp;'G-1 All Habitats'!B81,$G$11:$G$256,"&lt;&gt;"&amp;'G-1 All Habitats'!B67,$G$11:$G$256,"&lt;&gt;"&amp;'G-1 All Habitats'!B68))</f>
        <v>46.795000000000009</v>
      </c>
      <c r="P260" s="38"/>
      <c r="Y260" s="66"/>
    </row>
    <row r="261" spans="1:43" ht="34.049999999999997" customHeight="1" thickBot="1" x14ac:dyDescent="0.3">
      <c r="D261" s="38"/>
      <c r="E261" s="38"/>
      <c r="F261" s="66"/>
      <c r="H261" s="65"/>
      <c r="S261" s="1411" t="s">
        <v>306</v>
      </c>
      <c r="T261" s="1412"/>
      <c r="U261" s="1412"/>
      <c r="V261" s="1413"/>
      <c r="W261" s="366">
        <f>IF('Detailed Results'!$K$40&gt;0,"Error ▲",SUMIFS($W$11:$W$258,$G$11:$G$258,"&lt;&gt;"&amp;'G-1 All Habitats'!B67,$G$11:$G$258,"&lt;&gt;"&amp;'G-1 All Habitats'!B68,$G$11:$G$258,"&lt;&gt;"&amp;'G-1 All Habitats'!B80, $G$11:$G$258,"&lt;&gt;"&amp;'G-1 All Habitats'!B81))</f>
        <v>45.938000000000002</v>
      </c>
    </row>
    <row r="262" spans="1:43" x14ac:dyDescent="0.25">
      <c r="D262" s="38"/>
      <c r="E262" s="38"/>
    </row>
    <row r="263" spans="1:43" ht="14.4" thickBot="1" x14ac:dyDescent="0.3">
      <c r="D263" s="38"/>
      <c r="E263" s="38"/>
      <c r="F263" s="38"/>
      <c r="G263" s="36"/>
      <c r="H263" s="38"/>
      <c r="I263" s="38"/>
      <c r="J263" s="38"/>
      <c r="K263" s="38"/>
      <c r="L263" s="38"/>
      <c r="M263" s="38"/>
      <c r="N263" s="38"/>
      <c r="O263" s="38"/>
    </row>
    <row r="264" spans="1:43" ht="14.4" thickBot="1" x14ac:dyDescent="0.3">
      <c r="D264" s="38"/>
      <c r="E264" s="38"/>
      <c r="F264" s="1404" t="s">
        <v>307</v>
      </c>
      <c r="G264" s="36"/>
      <c r="H264" s="730" t="s">
        <v>308</v>
      </c>
      <c r="I264" s="734" t="s">
        <v>309</v>
      </c>
      <c r="J264" s="1406" t="s">
        <v>310</v>
      </c>
      <c r="K264" s="1407"/>
      <c r="L264" s="38"/>
      <c r="M264" s="38"/>
      <c r="N264" s="38"/>
      <c r="O264" s="38"/>
    </row>
    <row r="265" spans="1:43" ht="15" customHeight="1" thickBot="1" x14ac:dyDescent="0.3">
      <c r="D265" s="38"/>
      <c r="E265" s="38"/>
      <c r="F265" s="1405"/>
      <c r="G265" s="36"/>
      <c r="H265" s="730"/>
      <c r="I265" s="373" t="str">
        <f>IF(H264="Hectares",H265,IF(H264="M²",H265/10000,""))</f>
        <v/>
      </c>
      <c r="J265" s="1408" t="str">
        <f>IF(H264="M²",H265,IF(H264="Hectares",H265*10000,""))</f>
        <v/>
      </c>
      <c r="K265" s="1409"/>
      <c r="L265" s="38"/>
      <c r="M265" s="38"/>
      <c r="N265" s="38"/>
      <c r="O265" s="38"/>
    </row>
    <row r="275" x14ac:dyDescent="0.25"/>
  </sheetData>
  <sheetProtection algorithmName="SHA-512" hashValue="YzOHdEmurz9B+Rg3G/ljULGyZQkep/jwPLfbnyHCdLNFbGMHr8ZqCU1ZgJlh5te/ueVc6USNvva4hHYCGZoNDg==" saltValue="VXnxpemvgFCIC2NiZtcfDA=="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I2:M2"/>
    <mergeCell ref="Z9:AB9"/>
    <mergeCell ref="M9:O9"/>
    <mergeCell ref="S9:X9"/>
    <mergeCell ref="P9:P10"/>
    <mergeCell ref="Y9:Y10"/>
    <mergeCell ref="I6:M8"/>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s>
  <conditionalFormatting sqref="AC11:AC258">
    <cfRule type="cellIs" dxfId="767" priority="183" operator="equal">
      <formula>""</formula>
    </cfRule>
    <cfRule type="cellIs" dxfId="766" priority="184" operator="equal">
      <formula>"None"</formula>
    </cfRule>
    <cfRule type="cellIs" dxfId="765" priority="188" operator="greaterThan">
      <formula>0</formula>
    </cfRule>
  </conditionalFormatting>
  <conditionalFormatting sqref="AD12">
    <cfRule type="cellIs" dxfId="764" priority="179" operator="equal">
      <formula>"None"</formula>
    </cfRule>
    <cfRule type="cellIs" dxfId="763" priority="182" operator="equal">
      <formula>""</formula>
    </cfRule>
    <cfRule type="cellIs" dxfId="762" priority="185" operator="greaterThan">
      <formula>0</formula>
    </cfRule>
  </conditionalFormatting>
  <conditionalFormatting sqref="AC11">
    <cfRule type="cellIs" dxfId="761" priority="168" operator="equal">
      <formula>""</formula>
    </cfRule>
    <cfRule type="cellIs" dxfId="760" priority="169" operator="equal">
      <formula>"None"</formula>
    </cfRule>
    <cfRule type="cellIs" dxfId="759" priority="172" operator="greaterThan">
      <formula>0</formula>
    </cfRule>
  </conditionalFormatting>
  <conditionalFormatting sqref="AD11:AD258">
    <cfRule type="cellIs" dxfId="758" priority="164" operator="equal">
      <formula>"None"</formula>
    </cfRule>
    <cfRule type="cellIs" dxfId="757" priority="167" operator="equal">
      <formula>""</formula>
    </cfRule>
    <cfRule type="cellIs" dxfId="756" priority="170" operator="greaterThan">
      <formula>0</formula>
    </cfRule>
  </conditionalFormatting>
  <conditionalFormatting sqref="AC11:AC258">
    <cfRule type="cellIs" dxfId="755" priority="153" operator="equal">
      <formula>""</formula>
    </cfRule>
    <cfRule type="cellIs" dxfId="754" priority="154" operator="equal">
      <formula>"None"</formula>
    </cfRule>
    <cfRule type="cellIs" dxfId="753" priority="157" operator="greaterThan">
      <formula>0</formula>
    </cfRule>
  </conditionalFormatting>
  <conditionalFormatting sqref="AD13:AD258">
    <cfRule type="cellIs" dxfId="752" priority="149" operator="equal">
      <formula>"None"</formula>
    </cfRule>
    <cfRule type="cellIs" dxfId="751" priority="152" operator="equal">
      <formula>""</formula>
    </cfRule>
    <cfRule type="cellIs" dxfId="750" priority="155" operator="greaterThan">
      <formula>0</formula>
    </cfRule>
  </conditionalFormatting>
  <conditionalFormatting sqref="AC11:AC258">
    <cfRule type="cellIs" dxfId="749" priority="146" operator="equal">
      <formula>0</formula>
    </cfRule>
  </conditionalFormatting>
  <conditionalFormatting sqref="L11:L258">
    <cfRule type="cellIs" dxfId="748" priority="138" operator="equal">
      <formula>"Not Possible"</formula>
    </cfRule>
  </conditionalFormatting>
  <conditionalFormatting sqref="W11:W258">
    <cfRule type="cellIs" dxfId="747" priority="66" operator="equal">
      <formula>"Error in Areas ▲"</formula>
    </cfRule>
    <cfRule type="cellIs" dxfId="746" priority="96" operator="equal">
      <formula>"Unacceptable Loss ▲"</formula>
    </cfRule>
  </conditionalFormatting>
  <conditionalFormatting sqref="Q11:Q258">
    <cfRule type="cellIs" dxfId="745" priority="74" operator="equal">
      <formula>"Any loss Unacceptable ⚠"</formula>
    </cfRule>
  </conditionalFormatting>
  <conditionalFormatting sqref="Q11:Q258">
    <cfRule type="expression" dxfId="744" priority="76">
      <formula>"p18=""Avoid"""</formula>
    </cfRule>
  </conditionalFormatting>
  <conditionalFormatting sqref="Q11:Q258">
    <cfRule type="cellIs" dxfId="743" priority="75" operator="equal">
      <formula>"Any loss Unacceptable ⚠"</formula>
    </cfRule>
  </conditionalFormatting>
  <conditionalFormatting sqref="Q11:Q258">
    <cfRule type="cellIs" dxfId="742" priority="71" operator="equal">
      <formula>"Any loss Unacceptable ⚠"</formula>
    </cfRule>
  </conditionalFormatting>
  <conditionalFormatting sqref="Q11:Q258">
    <cfRule type="expression" dxfId="741" priority="73">
      <formula>"p18=""Avoid"""</formula>
    </cfRule>
  </conditionalFormatting>
  <conditionalFormatting sqref="Q11:Q258">
    <cfRule type="cellIs" dxfId="740" priority="72" operator="equal">
      <formula>"Any loss Unacceptable ⚠"</formula>
    </cfRule>
  </conditionalFormatting>
  <conditionalFormatting sqref="Q12:Q258">
    <cfRule type="cellIs" dxfId="739" priority="68" operator="equal">
      <formula>"Any loss Unacceptable ▲"</formula>
    </cfRule>
  </conditionalFormatting>
  <conditionalFormatting sqref="Q12:Q258">
    <cfRule type="expression" dxfId="738" priority="70">
      <formula>"p18=""Avoid"""</formula>
    </cfRule>
  </conditionalFormatting>
  <conditionalFormatting sqref="Q12:Q258">
    <cfRule type="cellIs" dxfId="737" priority="69" operator="equal">
      <formula>"Any loss Unacceptable ▲"</formula>
    </cfRule>
  </conditionalFormatting>
  <conditionalFormatting sqref="Q11:Q258">
    <cfRule type="cellIs" dxfId="736" priority="67" operator="equal">
      <formula>"Check Data ▲"</formula>
    </cfRule>
  </conditionalFormatting>
  <conditionalFormatting sqref="Y11:Y258">
    <cfRule type="cellIs" dxfId="735" priority="134" operator="equal">
      <formula>"No"</formula>
    </cfRule>
    <cfRule type="cellIs" dxfId="734" priority="135" operator="equal">
      <formula>"Yes"</formula>
    </cfRule>
  </conditionalFormatting>
  <conditionalFormatting sqref="X11:X258">
    <cfRule type="containsText" dxfId="733" priority="10" operator="containsText" text="✓">
      <formula>NOT(ISERROR(SEARCH("✓",X11)))</formula>
    </cfRule>
    <cfRule type="containsText" dxfId="732" priority="40" operator="containsText" text="Check">
      <formula>NOT(ISERROR(SEARCH("Check",X11)))</formula>
    </cfRule>
    <cfRule type="cellIs" dxfId="731" priority="51" operator="equal">
      <formula>"Error in Areas ▲"</formula>
    </cfRule>
  </conditionalFormatting>
  <conditionalFormatting sqref="X11:X258">
    <cfRule type="containsText" dxfId="730" priority="52"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29" priority="36" operator="equal">
      <formula>"Error in Areas"</formula>
    </cfRule>
    <cfRule type="cellIs" dxfId="728" priority="37" operator="equal">
      <formula>"Unacceptable Loss"</formula>
    </cfRule>
  </conditionalFormatting>
  <conditionalFormatting sqref="W11:W258">
    <cfRule type="cellIs" dxfId="727" priority="29" operator="equal">
      <formula>"Error in Areas ▲"</formula>
    </cfRule>
    <cfRule type="cellIs" dxfId="726" priority="30" operator="equal">
      <formula>"Unacceptable Loss ⚠"</formula>
    </cfRule>
  </conditionalFormatting>
  <conditionalFormatting sqref="L3">
    <cfRule type="containsText" dxfId="725" priority="24" operator="containsText" text="Error">
      <formula>NOT(ISERROR(SEARCH("Error",L3)))</formula>
    </cfRule>
    <cfRule type="containsText" dxfId="724" priority="25" operator="containsText" text="Check">
      <formula>NOT(ISERROR(SEARCH("Check",L3)))</formula>
    </cfRule>
  </conditionalFormatting>
  <conditionalFormatting sqref="L4">
    <cfRule type="containsText" dxfId="723" priority="12" operator="containsText" text="Check">
      <formula>NOT(ISERROR(SEARCH("Check",L4)))</formula>
    </cfRule>
    <cfRule type="containsText" dxfId="722" priority="13" operator="containsText" text="Error">
      <formula>NOT(ISERROR(SEARCH("Error",L4)))</formula>
    </cfRule>
  </conditionalFormatting>
  <conditionalFormatting sqref="L5">
    <cfRule type="containsText" dxfId="721" priority="18" operator="containsText" text="No">
      <formula>NOT(ISERROR(SEARCH("No",L5)))</formula>
    </cfRule>
    <cfRule type="containsText" dxfId="720" priority="19" operator="containsText" text="Yes">
      <formula>NOT(ISERROR(SEARCH("Yes",L5)))</formula>
    </cfRule>
  </conditionalFormatting>
  <conditionalFormatting sqref="L4">
    <cfRule type="cellIs" dxfId="719" priority="7" operator="equal">
      <formula>0</formula>
    </cfRule>
  </conditionalFormatting>
  <conditionalFormatting sqref="Q2">
    <cfRule type="containsText" dxfId="718" priority="11" operator="containsText" text="Check">
      <formula>NOT(ISERROR(SEARCH("Check",Q2)))</formula>
    </cfRule>
  </conditionalFormatting>
  <conditionalFormatting sqref="U259:V259">
    <cfRule type="containsText" dxfId="717" priority="9" operator="containsText" text="Error">
      <formula>NOT(ISERROR(SEARCH("Error",U259)))</formula>
    </cfRule>
  </conditionalFormatting>
  <conditionalFormatting sqref="I6:M8">
    <cfRule type="containsText" dxfId="716" priority="8" operator="containsText" text="⚠">
      <formula>NOT(ISERROR(SEARCH("⚠",I6)))</formula>
    </cfRule>
  </conditionalFormatting>
  <conditionalFormatting sqref="L4:M4">
    <cfRule type="cellIs" dxfId="715" priority="14" operator="lessThan">
      <formula>0</formula>
    </cfRule>
  </conditionalFormatting>
  <conditionalFormatting sqref="X259">
    <cfRule type="containsText" dxfId="714" priority="6" operator="containsText" text="▲">
      <formula>NOT(ISERROR(SEARCH("▲",X259)))</formula>
    </cfRule>
  </conditionalFormatting>
  <conditionalFormatting sqref="W259">
    <cfRule type="containsText" dxfId="713" priority="5" operator="containsText" text="▲">
      <formula>NOT(ISERROR(SEARCH("▲",W259)))</formula>
    </cfRule>
  </conditionalFormatting>
  <conditionalFormatting sqref="Q259:T259">
    <cfRule type="containsText" dxfId="712" priority="4" operator="containsText" text="Error">
      <formula>NOT(ISERROR(SEARCH("Error",Q259)))</formula>
    </cfRule>
  </conditionalFormatting>
  <conditionalFormatting sqref="W261">
    <cfRule type="containsText" dxfId="711" priority="3" operator="containsText" text="▲">
      <formula>NOT(ISERROR(SEARCH("▲",W261)))</formula>
    </cfRule>
  </conditionalFormatting>
  <conditionalFormatting sqref="H259:H260">
    <cfRule type="containsText" dxfId="710" priority="2" operator="containsText" text="▲">
      <formula>NOT(ISERROR(SEARCH("▲",H259)))</formula>
    </cfRule>
  </conditionalFormatting>
  <conditionalFormatting sqref="L3:M5">
    <cfRule type="containsText" dxfId="709" priority="1" operator="containsText" text="N/A">
      <formula>NOT(ISERROR(SEARCH("N/A",L3)))</formula>
    </cfRule>
  </conditionalFormatting>
  <dataValidations xWindow="350" yWindow="550" count="4">
    <dataValidation type="list" allowBlank="1" showInputMessage="1" showErrorMessage="1" sqref="F11:F258" xr:uid="{00000000-0002-0000-0900-000000000000}">
      <formula1>INDIRECT(A11)</formula1>
    </dataValidation>
    <dataValidation allowBlank="1" showErrorMessage="1" errorTitle="Invalid Habitat" error="Select from List" sqref="G11:G258" xr:uid="{00000000-0002-0000-0900-000001000000}"/>
    <dataValidation type="list" allowBlank="1" showInputMessage="1" showErrorMessage="1" sqref="K11:K258" xr:uid="{00000000-0002-0000-0900-000002000000}">
      <formula1>INDIRECT(B11)</formula1>
    </dataValidation>
    <dataValidation type="list" allowBlank="1" showInputMessage="1" showErrorMessage="1" sqref="H264" xr:uid="{F330C1E3-9A2C-4C34-A2AB-21E5BF8C9B02}">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43" operator="equal" id="{78251F4B-D9B8-491B-A3CB-C3E31CF4FAF9}">
            <xm:f>'G-1 All Habitats'!$X$6</xm:f>
            <x14:dxf>
              <font>
                <color rgb="FF383745"/>
              </font>
              <fill>
                <patternFill>
                  <fgColor auto="1"/>
                  <bgColor theme="8" tint="0.59996337778862885"/>
                </patternFill>
              </fill>
            </x14:dxf>
          </x14:cfRule>
          <x14:cfRule type="cellIs" priority="246" operator="equal" id="{CE433DA3-276C-48D8-8968-BAC21DBC1720}">
            <xm:f>'G-1 All Habitats'!$X$5</xm:f>
            <x14:dxf>
              <font>
                <color rgb="FF383745"/>
              </font>
              <fill>
                <patternFill>
                  <bgColor theme="8" tint="-0.24994659260841701"/>
                </patternFill>
              </fill>
            </x14:dxf>
          </x14:cfRule>
          <x14:cfRule type="cellIs" priority="247" operator="equal" id="{FAF3837B-61C2-4812-84DC-4861E4B549AE}">
            <xm:f>'G-1 All Habitats'!$X$4</xm:f>
            <x14:dxf>
              <font>
                <color rgb="FF383745"/>
              </font>
              <fill>
                <patternFill>
                  <bgColor theme="6"/>
                </patternFill>
              </fill>
            </x14:dxf>
          </x14:cfRule>
          <x14:cfRule type="cellIs" priority="248"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6" operator="lessThan" id="{593D0BA2-2099-43F5-91C6-6C5B4FA9AD26}">
            <xm:f>Start!$F$22</xm:f>
            <x14:dxf>
              <font>
                <color rgb="FF383745"/>
              </font>
              <fill>
                <patternFill>
                  <bgColor rgb="FFFFC000"/>
                </patternFill>
              </fill>
            </x14:dxf>
          </x14:cfRule>
          <x14:cfRule type="cellIs" priority="427"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900-000004000000}">
          <x14:formula1>
            <xm:f>'G-3 Multipliers'!$L$4:$L$6</xm:f>
          </x14:formula1>
          <xm:sqref>M11:M258</xm:sqref>
        </x14:dataValidation>
        <x14:dataValidation type="list" allowBlank="1" showInputMessage="1" showErrorMessage="1" xr:uid="{00000000-0002-0000-0900-000003000000}">
          <x14:formula1>
            <xm:f>'G-1 All Habitats'!$AD$3:$AD$4</xm:f>
          </x14:formula1>
          <xm:sqref>Y11:Y258</xm:sqref>
        </x14:dataValidation>
        <x14:dataValidation type="list" allowBlank="1" showInputMessage="1" showErrorMessage="1" xr:uid="{9B4FE825-6319-43FB-AB2F-2970C1D1BF96}">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006600"/>
  </sheetPr>
  <dimension ref="A1:XFC266"/>
  <sheetViews>
    <sheetView showGridLines="0" topLeftCell="N1" zoomScale="80" zoomScaleNormal="80" workbookViewId="0">
      <pane ySplit="10" topLeftCell="A15" activePane="bottomLeft" state="frozen"/>
      <selection pane="bottomLeft" activeCell="Z20" sqref="Z20"/>
    </sheetView>
  </sheetViews>
  <sheetFormatPr defaultColWidth="0" defaultRowHeight="13.8" zeroHeight="1" x14ac:dyDescent="0.25"/>
  <cols>
    <col min="1" max="1" width="19.77734375" style="35" hidden="1" customWidth="1"/>
    <col min="2" max="2" width="10.77734375" style="35" hidden="1" customWidth="1"/>
    <col min="3" max="3" width="5.5546875" style="35" hidden="1" customWidth="1"/>
    <col min="4" max="4" width="27.21875" style="35" customWidth="1"/>
    <col min="5" max="5" width="75" style="37" customWidth="1"/>
    <col min="6" max="6" width="24.44140625" style="35" hidden="1" customWidth="1"/>
    <col min="7" max="7" width="14.77734375" style="35" customWidth="1"/>
    <col min="8" max="8" width="18" style="35" customWidth="1"/>
    <col min="9" max="9" width="14.21875" style="35" customWidth="1"/>
    <col min="10" max="11" width="12.5546875" style="35" customWidth="1"/>
    <col min="12" max="12" width="42.21875" style="35" customWidth="1"/>
    <col min="13" max="13" width="19.5546875" style="35" customWidth="1"/>
    <col min="14" max="14" width="13.21875" style="35" customWidth="1"/>
    <col min="15" max="15" width="18" style="35" customWidth="1"/>
    <col min="16" max="17" width="17.77734375" style="35" customWidth="1"/>
    <col min="18" max="18" width="49.5546875" style="35" customWidth="1"/>
    <col min="19" max="19" width="18.21875" style="35" customWidth="1"/>
    <col min="20" max="20" width="15.21875" style="35" customWidth="1"/>
    <col min="21" max="21" width="13.77734375" style="35" customWidth="1"/>
    <col min="22" max="22" width="36.5546875" style="35" customWidth="1"/>
    <col min="23" max="23" width="15.21875" style="35" customWidth="1"/>
    <col min="24" max="24" width="14.21875" style="35" customWidth="1"/>
    <col min="25" max="25" width="12.77734375" style="35" customWidth="1"/>
    <col min="26" max="26" width="39.77734375" style="35" customWidth="1"/>
    <col min="27" max="27" width="43.21875" style="35" customWidth="1"/>
    <col min="28" max="28" width="16.44140625" style="35" customWidth="1"/>
    <col min="29" max="29" width="12" style="35" customWidth="1"/>
    <col min="30" max="30" width="8.77734375" style="35" hidden="1" customWidth="1"/>
    <col min="31" max="31" width="10.77734375" style="35" hidden="1" customWidth="1"/>
    <col min="32" max="32" width="11.77734375" style="35" hidden="1" customWidth="1"/>
    <col min="33" max="16383" width="8.77734375" style="35" hidden="1" customWidth="1"/>
    <col min="16384" max="16384" width="1.77734375" style="35" hidden="1" customWidth="1"/>
  </cols>
  <sheetData>
    <row r="1" spans="1:34" ht="14.4" thickBot="1" x14ac:dyDescent="0.3"/>
    <row r="2" spans="1:34" ht="18.75" customHeight="1" thickBot="1" x14ac:dyDescent="0.35">
      <c r="D2" s="1469" t="str">
        <f>CONCATENATE("Project Name:", " ", Start!F12, "     ", "Map Reference:", " ", Start!K55)</f>
        <v xml:space="preserve">Project Name: Grove Farm Solar     Map Reference: </v>
      </c>
      <c r="E2" s="1470"/>
      <c r="G2" s="894">
        <v>0.01</v>
      </c>
      <c r="H2" s="1437" t="s">
        <v>262</v>
      </c>
      <c r="I2" s="1438"/>
      <c r="J2" s="1438"/>
      <c r="K2" s="1438"/>
      <c r="L2" s="1439"/>
      <c r="N2" s="1484" t="str">
        <f>IF(OR(COUNTIF($O$11:O256,"*30+*")&gt;0,COUNTIF($S$11:S256,"*30+*")&gt;0),"Note; Habitat selected has a time to target condition greater than 30 years. Non standard agreement may be required.","")</f>
        <v/>
      </c>
      <c r="O2" s="1484"/>
      <c r="P2" s="1484"/>
      <c r="Q2" s="1484"/>
      <c r="R2" s="1484"/>
      <c r="S2" s="1449" t="str" cm="1">
        <f t="array" ref="S2">IF(OR(J11:J256 = "Fairly Good", J11:J256 = "Fairly Poor"),"A 'Fairly' Category has been used - check evidence to ensure this is appropriate ⚠", "")</f>
        <v/>
      </c>
      <c r="T2" s="1449"/>
      <c r="U2" s="1449"/>
      <c r="V2" s="1449"/>
      <c r="W2" s="1449"/>
      <c r="X2" s="1449"/>
    </row>
    <row r="3" spans="1:34" ht="24" customHeight="1" thickBot="1" x14ac:dyDescent="0.3">
      <c r="D3" s="1471" t="str">
        <f ca="1">MID(CELL("filename",D1),FIND("]",CELL("filename",D1))+1,256)</f>
        <v>A-2 On-Site Habitat Creation</v>
      </c>
      <c r="E3" s="1472"/>
      <c r="H3" s="1450" t="s">
        <v>263</v>
      </c>
      <c r="I3" s="1451"/>
      <c r="J3" s="1452"/>
      <c r="K3" s="1453">
        <f>'Headline Results'!H47</f>
        <v>97.897490402123225</v>
      </c>
      <c r="L3" s="1454"/>
      <c r="N3" s="1484"/>
      <c r="O3" s="1484"/>
      <c r="P3" s="1484"/>
      <c r="Q3" s="1484"/>
      <c r="R3" s="1484"/>
      <c r="S3" s="1449"/>
      <c r="T3" s="1449"/>
      <c r="U3" s="1449"/>
      <c r="V3" s="1449"/>
      <c r="W3" s="1449"/>
      <c r="X3" s="1449"/>
    </row>
    <row r="4" spans="1:34" ht="12.6" customHeight="1" x14ac:dyDescent="0.25">
      <c r="H4" s="1455" t="s">
        <v>265</v>
      </c>
      <c r="I4" s="1456"/>
      <c r="J4" s="1457"/>
      <c r="K4" s="1458">
        <f>'Headline Results'!H51</f>
        <v>1.012467323068333</v>
      </c>
      <c r="L4" s="1459"/>
      <c r="N4" s="1485"/>
      <c r="O4" s="1485"/>
      <c r="P4" s="1485"/>
      <c r="Q4" s="1485"/>
      <c r="R4" s="1485"/>
      <c r="S4" s="1449"/>
      <c r="T4" s="1449"/>
      <c r="U4" s="1449"/>
      <c r="V4" s="1449"/>
      <c r="W4" s="1449"/>
      <c r="X4" s="1449"/>
    </row>
    <row r="5" spans="1:34" ht="15.6" customHeight="1" x14ac:dyDescent="0.3">
      <c r="H5" s="1455" t="s">
        <v>267</v>
      </c>
      <c r="I5" s="1456"/>
      <c r="J5" s="1457"/>
      <c r="K5" s="1460" t="str" cm="1">
        <f t="array" ref="K5">IF(OR('Trading Summary Area Habitats'!G5:G8="No ▲"), "No - check trading summaries ▲", "Yes ✓")</f>
        <v>Yes ✓</v>
      </c>
      <c r="L5" s="1461"/>
      <c r="M5" s="199"/>
      <c r="N5" s="1485"/>
      <c r="O5" s="1485"/>
      <c r="P5" s="1485"/>
      <c r="Q5" s="1485"/>
      <c r="R5" s="1485"/>
      <c r="S5" s="1449"/>
      <c r="T5" s="1449"/>
      <c r="U5" s="1449"/>
      <c r="V5" s="1449"/>
      <c r="W5" s="1449"/>
      <c r="X5" s="1449"/>
    </row>
    <row r="6" spans="1:34" ht="36" customHeight="1" thickBot="1" x14ac:dyDescent="0.3">
      <c r="H6" s="1464" t="s">
        <v>1675</v>
      </c>
      <c r="I6" s="1465"/>
      <c r="J6" s="1466"/>
      <c r="K6" s="1462" t="str">
        <f>IF(ABS('A-1 On-Site Habitat Baseline'!W261 - G259)&lt;=G2,  "Area Acceptable 🗸", "Error - Area created does not equal area lost ▲")</f>
        <v>Area Acceptable 🗸</v>
      </c>
      <c r="L6" s="1463"/>
      <c r="N6" s="1485"/>
      <c r="O6" s="1485"/>
      <c r="P6" s="1485"/>
      <c r="Q6" s="1485"/>
      <c r="R6" s="1485"/>
    </row>
    <row r="7" spans="1:34" ht="39" customHeight="1" thickBot="1" x14ac:dyDescent="0.35">
      <c r="E7" s="38"/>
      <c r="H7" s="1467" t="str" cm="1">
        <f t="array" ref="H7">IF(OR(E11:E258="watercourse footprint"),"Please ensure the watercourse details for any watercourse footprints recorded are included in the watercourse tabs ⚠", "")</f>
        <v/>
      </c>
      <c r="I7" s="1467"/>
      <c r="J7" s="1467"/>
      <c r="K7" s="1467"/>
      <c r="L7" s="1467"/>
      <c r="P7" s="311"/>
      <c r="Q7" s="311"/>
      <c r="R7" s="311"/>
      <c r="S7" s="309"/>
      <c r="T7" s="309"/>
      <c r="U7" s="309"/>
      <c r="V7" s="309"/>
      <c r="W7" s="309"/>
    </row>
    <row r="8" spans="1:34" ht="14.4" thickBot="1" x14ac:dyDescent="0.3">
      <c r="D8" s="1479" t="s">
        <v>311</v>
      </c>
      <c r="E8" s="1480"/>
      <c r="F8" s="1480"/>
      <c r="G8" s="1480"/>
      <c r="H8" s="1480"/>
      <c r="I8" s="1480"/>
      <c r="J8" s="1480"/>
      <c r="K8" s="1480"/>
      <c r="L8" s="1480"/>
      <c r="M8" s="1480"/>
      <c r="N8" s="1480"/>
      <c r="O8" s="1480"/>
      <c r="P8" s="1480"/>
      <c r="Q8" s="1480"/>
      <c r="R8" s="1480"/>
      <c r="S8" s="1480"/>
      <c r="T8" s="1480"/>
      <c r="U8" s="1480"/>
      <c r="V8" s="1480"/>
      <c r="W8" s="1480"/>
      <c r="X8" s="1480"/>
      <c r="Y8" s="1480"/>
      <c r="Z8" s="1480"/>
      <c r="AA8" s="1481"/>
      <c r="AE8" s="1468" t="s">
        <v>312</v>
      </c>
    </row>
    <row r="9" spans="1:34" s="37" customFormat="1" ht="15" customHeight="1" thickBot="1" x14ac:dyDescent="0.3">
      <c r="B9" s="35"/>
      <c r="D9" s="1477" t="s">
        <v>282</v>
      </c>
      <c r="E9" s="1473" t="s">
        <v>313</v>
      </c>
      <c r="F9" s="1473" t="s">
        <v>313</v>
      </c>
      <c r="G9" s="1475" t="s">
        <v>285</v>
      </c>
      <c r="H9" s="1440" t="s">
        <v>269</v>
      </c>
      <c r="I9" s="1442"/>
      <c r="J9" s="1440" t="s">
        <v>270</v>
      </c>
      <c r="K9" s="1442"/>
      <c r="L9" s="1440" t="s">
        <v>271</v>
      </c>
      <c r="M9" s="1441"/>
      <c r="N9" s="1442"/>
      <c r="O9" s="1440" t="s">
        <v>314</v>
      </c>
      <c r="P9" s="1441"/>
      <c r="Q9" s="1441"/>
      <c r="R9" s="1441"/>
      <c r="S9" s="1441"/>
      <c r="T9" s="1442"/>
      <c r="U9" s="1423" t="s">
        <v>315</v>
      </c>
      <c r="V9" s="1424"/>
      <c r="W9" s="1424"/>
      <c r="X9" s="1425"/>
      <c r="Y9" s="1443" t="s">
        <v>316</v>
      </c>
      <c r="Z9" s="1482" t="s">
        <v>276</v>
      </c>
      <c r="AA9" s="1483"/>
      <c r="AB9" s="35"/>
      <c r="AC9" s="35"/>
      <c r="AD9" s="35"/>
      <c r="AE9" s="1468"/>
      <c r="AF9" s="35"/>
      <c r="AG9" s="35"/>
      <c r="AH9" s="35"/>
    </row>
    <row r="10" spans="1:34" ht="66" customHeight="1" thickBot="1" x14ac:dyDescent="0.3">
      <c r="A10" s="41" t="s">
        <v>280</v>
      </c>
      <c r="D10" s="1478"/>
      <c r="E10" s="1474"/>
      <c r="F10" s="1474"/>
      <c r="G10" s="1476"/>
      <c r="H10" s="807" t="s">
        <v>269</v>
      </c>
      <c r="I10" s="304" t="s">
        <v>286</v>
      </c>
      <c r="J10" s="808" t="s">
        <v>270</v>
      </c>
      <c r="K10" s="809" t="s">
        <v>286</v>
      </c>
      <c r="L10" s="45" t="s">
        <v>271</v>
      </c>
      <c r="M10" s="47" t="s">
        <v>271</v>
      </c>
      <c r="N10" s="48" t="s">
        <v>317</v>
      </c>
      <c r="O10" s="49" t="s">
        <v>318</v>
      </c>
      <c r="P10" s="753" t="s">
        <v>319</v>
      </c>
      <c r="Q10" s="753" t="s">
        <v>320</v>
      </c>
      <c r="R10" s="753" t="s">
        <v>321</v>
      </c>
      <c r="S10" s="753" t="s">
        <v>322</v>
      </c>
      <c r="T10" s="810" t="s">
        <v>323</v>
      </c>
      <c r="U10" s="746" t="s">
        <v>324</v>
      </c>
      <c r="V10" s="745" t="s">
        <v>325</v>
      </c>
      <c r="W10" s="745" t="s">
        <v>326</v>
      </c>
      <c r="X10" s="682" t="s">
        <v>327</v>
      </c>
      <c r="Y10" s="1444"/>
      <c r="Z10" s="44" t="s">
        <v>295</v>
      </c>
      <c r="AA10" s="43" t="s">
        <v>296</v>
      </c>
      <c r="AB10" s="48" t="s">
        <v>297</v>
      </c>
      <c r="AE10" s="35" t="s">
        <v>328</v>
      </c>
    </row>
    <row r="11" spans="1:34" ht="41.4" x14ac:dyDescent="0.25">
      <c r="A11" s="35" t="str">
        <f>IFERROR(INDEX('G-8 Condition Look up'!$I$4:$I$135,MATCH(F11,'G-8 Condition Look up'!$A$4:$A$135,0)),"")</f>
        <v>Cond1</v>
      </c>
      <c r="C11" s="299" t="str">
        <f>IFERROR(INDEX('G-1 All Habitats'!$AG$3:$AG$17,MATCH(D11,'G-1 All Habitats'!$AF$3:$AF$17,0)),"")</f>
        <v>Cropland</v>
      </c>
      <c r="D11" s="791" t="s">
        <v>124</v>
      </c>
      <c r="E11" s="812" t="s">
        <v>483</v>
      </c>
      <c r="F11" s="813" t="str">
        <f>IFERROR(INDEX('G-1 All Habitats'!$B$3:$B$134,MATCH(E11,'G-1 All Habitats'!$A$3:$A$134,0)),"")</f>
        <v>Cropland - Cereal crops</v>
      </c>
      <c r="G11" s="789">
        <v>2.3E-2</v>
      </c>
      <c r="H11" s="443" t="str">
        <f>IF(F11="","",VLOOKUP(F11,'G-1 All Habitats'!$B$2:$M$134,10,FALSE))</f>
        <v>Low</v>
      </c>
      <c r="I11" s="790">
        <f>IFERROR(VLOOKUP(H11,'G-1 All Habitats'!$V$3:$W$7,2,FALSE),"")</f>
        <v>2</v>
      </c>
      <c r="J11" s="791" t="s">
        <v>492</v>
      </c>
      <c r="K11" s="790">
        <f>IFERROR(INDEX('G-8 Condition Look up'!$A$3:$H$135,MATCH(F11,'G-8 Condition Look up'!$A$3:$A$135,0),MATCH(J11,'G-8 Condition Look up'!$A$3:$H$3,0)),"")</f>
        <v>1</v>
      </c>
      <c r="L11" s="54" t="s">
        <v>1034</v>
      </c>
      <c r="M11" s="370" t="str">
        <f>IF(L11="","",IF(VLOOKUP(L11,'G-3 Multipliers'!$L$3:$N$6,2,FALSE)=0,"Spatial Data Missing",VLOOKUP(L11,'G-3 Multipliers'!$L$3:$N$6,2,FALSE)))</f>
        <v>Low Strategic Significance</v>
      </c>
      <c r="N11" s="368">
        <f>IF(L11="","",IF(VLOOKUP(L11,'G-3 Multipliers'!$L$3:$N$6,3,FALSE)=0,"Spatial Data Missing",VLOOKUP(L11,'G-3 Multipliers'!$L$3:$N$6,3,FALSE)))</f>
        <v>1</v>
      </c>
      <c r="O11" s="443">
        <f>IFERROR(INDEX(TemporalData,MATCH(F11,TemporalHabitats,0),MATCH(J11,TemporalConditions,0)),"")</f>
        <v>1</v>
      </c>
      <c r="P11" s="812">
        <v>0</v>
      </c>
      <c r="Q11" s="812">
        <v>0</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Standard time to target condition applied</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1</v>
      </c>
      <c r="T11" s="814">
        <f>IFERROR(IF(S11="Check Data ⚠","Check Data ⚠",VLOOKUP(S11,'G-4 Temporal multipliers'!$A$4:$C$37,3,FALSE)),"")</f>
        <v>0.96499999999999997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4.4389999999999999E-2</v>
      </c>
      <c r="Z11" s="194" t="s">
        <v>1712</v>
      </c>
      <c r="AA11" s="195"/>
      <c r="AB11" s="118"/>
      <c r="AE11" s="40" t="str">
        <f t="shared" ref="AE11:AE74" si="0">IFERROR(INDEX(TemporalData,MATCH(F11,TemporalHabitats,0),MATCH($AE$10,TemporalConditions,0)),"")</f>
        <v>Not Possible</v>
      </c>
    </row>
    <row r="12" spans="1:34" ht="27.6" x14ac:dyDescent="0.25">
      <c r="A12" s="35" t="str">
        <f>IFERROR(INDEX('G-8 Condition Look up'!$I$4:$I$135,MATCH(F12,'G-8 Condition Look up'!$A$4:$A$135,0)),"")</f>
        <v>Cond2</v>
      </c>
      <c r="C12" s="299" t="str">
        <f>IFERROR(INDEX('G-1 All Habitats'!$AG$3:$AG$17,MATCH(D12,'G-1 All Habitats'!$AF$3:$AF$17,0)),"")</f>
        <v>Urban</v>
      </c>
      <c r="D12" s="54" t="s">
        <v>129</v>
      </c>
      <c r="E12" s="61" t="s">
        <v>696</v>
      </c>
      <c r="F12" s="296" t="str">
        <f>IFERROR(INDEX('G-1 All Habitats'!$B$3:$B$134,MATCH(E12,'G-1 All Habitats'!$A$3:$A$134,0)),"")</f>
        <v>Urban - Developed land; sealed surface</v>
      </c>
      <c r="G12" s="53">
        <v>0.02</v>
      </c>
      <c r="H12" s="362" t="str">
        <f>IF(F12="","",VLOOKUP(F12,'G-1 All Habitats'!$B$2:$M$134,10,FALSE))</f>
        <v>V.Low</v>
      </c>
      <c r="I12" s="363">
        <f>IFERROR(VLOOKUP(H12,'G-1 All Habitats'!$V$3:$W$7,2,FALSE),"")</f>
        <v>0</v>
      </c>
      <c r="J12" s="54" t="s">
        <v>496</v>
      </c>
      <c r="K12" s="363">
        <f>IFERROR(INDEX('G-8 Condition Look up'!$A$3:$H$135,MATCH(F12,'G-8 Condition Look up'!$A$3:$A$135,0),MATCH(J12,'G-8 Condition Look up'!$A$3:$H$3,0)),"")</f>
        <v>0</v>
      </c>
      <c r="L12" s="54" t="s">
        <v>1034</v>
      </c>
      <c r="M12" s="370" t="str">
        <f>IF(L12="","",IF(VLOOKUP(L12,'G-3 Multipliers'!$L$3:$N$6,2,FALSE)=0,"Spatial Data Missing",VLOOKUP(L12,'G-3 Multipliers'!$L$3:$N$6,2,FALSE)))</f>
        <v>Low Strategic Significance</v>
      </c>
      <c r="N12" s="368">
        <f>IF(L12="","",IF(VLOOKUP(L12,'G-3 Multipliers'!$L$3:$N$6,3,FALSE)=0,"Spatial Data Missing",VLOOKUP(L12,'G-3 Multipliers'!$L$3:$N$6,3,FALSE)))</f>
        <v>1</v>
      </c>
      <c r="O12" s="362">
        <f t="shared" ref="O12:O74" si="1">IFERROR(INDEX(TemporalData,MATCH(F12,TemporalHabitats,0),MATCH(J12,TemporalConditions,0)),"")</f>
        <v>0</v>
      </c>
      <c r="P12" s="63">
        <v>0</v>
      </c>
      <c r="Q12" s="63">
        <v>0</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Standard time to target condition applied</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0</v>
      </c>
      <c r="T12" s="384">
        <f>IFERROR(IF(S12="Check Data ⚠","Check Data ⚠",VLOOKUP(S12,'G-4 Temporal multipliers'!$A$4:$C$37,3,FALSE)),"")</f>
        <v>1</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Medium</v>
      </c>
      <c r="X12" s="386">
        <f>IFERROR(IF(E12="","",VLOOKUP(W12, 'G-3 Multipliers'!$P$2:$Q$6,2,FALSE)),"")</f>
        <v>0.67</v>
      </c>
      <c r="Y12" s="390">
        <f t="shared" ref="Y12:Y75" si="4">IFERROR(G12*I12*K12*N12*T12*X12,"")</f>
        <v>0</v>
      </c>
      <c r="Z12" s="194" t="s">
        <v>1711</v>
      </c>
      <c r="AA12" s="195"/>
      <c r="AB12" s="120"/>
      <c r="AE12" s="40" t="str">
        <f t="shared" si="0"/>
        <v>Not Possible</v>
      </c>
    </row>
    <row r="13" spans="1:34" ht="41.4" x14ac:dyDescent="0.25">
      <c r="A13" s="35" t="str">
        <f>IFERROR(INDEX('G-8 Condition Look up'!$I$4:$I$135,MATCH(F13,'G-8 Condition Look up'!$A$4:$A$135,0)),"")</f>
        <v>Cond1</v>
      </c>
      <c r="C13" s="299" t="str">
        <f>IFERROR(INDEX('G-1 All Habitats'!$AG$3:$AG$17,MATCH(D13,'G-1 All Habitats'!$AF$3:$AF$17,0)),"")</f>
        <v>Cropland</v>
      </c>
      <c r="D13" s="54" t="s">
        <v>124</v>
      </c>
      <c r="E13" s="61" t="s">
        <v>483</v>
      </c>
      <c r="F13" s="296" t="str">
        <f>IFERROR(INDEX('G-1 All Habitats'!$B$3:$B$134,MATCH(E13,'G-1 All Habitats'!$A$3:$A$134,0)),"")</f>
        <v>Cropland - Cereal crops</v>
      </c>
      <c r="G13" s="53">
        <v>9.2999999999999999E-2</v>
      </c>
      <c r="H13" s="362" t="str">
        <f>IF(F13="","",VLOOKUP(F13,'G-1 All Habitats'!$B$2:$M$134,10,FALSE))</f>
        <v>Low</v>
      </c>
      <c r="I13" s="363">
        <f>IFERROR(VLOOKUP(H13,'G-1 All Habitats'!$V$3:$W$7,2,FALSE),"")</f>
        <v>2</v>
      </c>
      <c r="J13" s="54" t="s">
        <v>492</v>
      </c>
      <c r="K13" s="363">
        <f>IFERROR(INDEX('G-8 Condition Look up'!$A$3:$H$135,MATCH(F13,'G-8 Condition Look up'!$A$3:$A$135,0),MATCH(J13,'G-8 Condition Look up'!$A$3:$H$3,0)),"")</f>
        <v>1</v>
      </c>
      <c r="L13" s="54" t="s">
        <v>1034</v>
      </c>
      <c r="M13" s="370" t="str">
        <f>IF(L13="","",IF(VLOOKUP(L13,'G-3 Multipliers'!$L$3:$N$6,2,FALSE)=0,"Spatial Data Missing",VLOOKUP(L13,'G-3 Multipliers'!$L$3:$N$6,2,FALSE)))</f>
        <v>Low Strategic Significance</v>
      </c>
      <c r="N13" s="368">
        <f>IF(L13="","",IF(VLOOKUP(L13,'G-3 Multipliers'!$L$3:$N$6,3,FALSE)=0,"Spatial Data Missing",VLOOKUP(L13,'G-3 Multipliers'!$L$3:$N$6,3,FALSE)))</f>
        <v>1</v>
      </c>
      <c r="O13" s="362">
        <f t="shared" si="1"/>
        <v>1</v>
      </c>
      <c r="P13" s="63">
        <v>0</v>
      </c>
      <c r="Q13" s="63">
        <v>0</v>
      </c>
      <c r="R13" s="370" t="str">
        <f t="shared" si="2"/>
        <v>Standard time to target condition applied</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1</v>
      </c>
      <c r="T13" s="384">
        <f>IFERROR(IF(S13="Check Data ⚠","Check Data ⚠",VLOOKUP(S13,'G-4 Temporal multipliers'!$A$4:$C$37,3,FALSE)),"")</f>
        <v>0.96499999999999997</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0.17948999999999998</v>
      </c>
      <c r="Z13" s="194" t="s">
        <v>1713</v>
      </c>
      <c r="AA13" s="195"/>
      <c r="AB13" s="120"/>
      <c r="AE13" s="40" t="str">
        <f t="shared" si="0"/>
        <v>Not Possible</v>
      </c>
    </row>
    <row r="14" spans="1:34" ht="41.4" x14ac:dyDescent="0.25">
      <c r="A14" s="35" t="str">
        <f>IFERROR(INDEX('G-8 Condition Look up'!$I$4:$I$135,MATCH(F14,'G-8 Condition Look up'!$A$4:$A$135,0)),"")</f>
        <v>Cond4</v>
      </c>
      <c r="C14" s="299" t="str">
        <f>IFERROR(INDEX('G-1 All Habitats'!$AG$3:$AG$17,MATCH(D14,'G-1 All Habitats'!$AF$3:$AF$17,0)),"")</f>
        <v>Grassland</v>
      </c>
      <c r="D14" s="54" t="s">
        <v>125</v>
      </c>
      <c r="E14" s="61" t="s">
        <v>544</v>
      </c>
      <c r="F14" s="296" t="str">
        <f>IFERROR(INDEX('G-1 All Habitats'!$B$3:$B$134,MATCH(E14,'G-1 All Habitats'!$A$3:$A$134,0)),"")</f>
        <v>Grassland - Other neutral grassland</v>
      </c>
      <c r="G14" s="53">
        <f>9.714+0.4+0.22-0.805</f>
        <v>9.5290000000000017</v>
      </c>
      <c r="H14" s="362" t="str">
        <f>IF(F14="","",VLOOKUP(F14,'G-1 All Habitats'!$B$2:$M$134,10,FALSE))</f>
        <v>Medium</v>
      </c>
      <c r="I14" s="363">
        <f>IFERROR(VLOOKUP(H14,'G-1 All Habitats'!$V$3:$W$7,2,FALSE),"")</f>
        <v>4</v>
      </c>
      <c r="J14" s="54" t="s">
        <v>67</v>
      </c>
      <c r="K14" s="363">
        <f>IFERROR(INDEX('G-8 Condition Look up'!$A$3:$H$135,MATCH(F14,'G-8 Condition Look up'!$A$3:$A$135,0),MATCH(J14,'G-8 Condition Look up'!$A$3:$H$3,0)),"")</f>
        <v>2</v>
      </c>
      <c r="L14" s="54" t="s">
        <v>1034</v>
      </c>
      <c r="M14" s="370" t="str">
        <f>IF(L14="","",IF(VLOOKUP(L14,'G-3 Multipliers'!$L$3:$N$6,2,FALSE)=0,"Spatial Data Missing",VLOOKUP(L14,'G-3 Multipliers'!$L$3:$N$6,2,FALSE)))</f>
        <v>Low Strategic Significance</v>
      </c>
      <c r="N14" s="368">
        <f>IF(L14="","",IF(VLOOKUP(L14,'G-3 Multipliers'!$L$3:$N$6,3,FALSE)=0,"Spatial Data Missing",VLOOKUP(L14,'G-3 Multipliers'!$L$3:$N$6,3,FALSE)))</f>
        <v>1</v>
      </c>
      <c r="O14" s="362">
        <f t="shared" si="1"/>
        <v>5</v>
      </c>
      <c r="P14" s="63">
        <v>0</v>
      </c>
      <c r="Q14" s="63">
        <v>0</v>
      </c>
      <c r="R14" s="370" t="str">
        <f t="shared" si="2"/>
        <v>Standard time to target condition applied</v>
      </c>
      <c r="S14" s="383">
        <f t="shared" si="3"/>
        <v>5</v>
      </c>
      <c r="T14" s="384">
        <f>IFERROR(IF(S14="Check Data ⚠","Check Data ⚠",VLOOKUP(S14,'G-4 Temporal multipliers'!$A$4:$C$37,3,FALSE)),"")</f>
        <v>0.83682870060000003</v>
      </c>
      <c r="U14" s="385" t="str">
        <f>IF(F14="","",VLOOKUP(F14,'G-3 Multipliers'!$A$2:$E$134,2,FALSE))</f>
        <v>Low</v>
      </c>
      <c r="V14" s="382" t="str">
        <f t="shared" si="5"/>
        <v>Standard difficulty applied</v>
      </c>
      <c r="W14" s="382" t="str">
        <f>IF(E14="","",IF(AND(V14="Standard difficulty applied",O14&gt;P14),U14,IF(AND(V14="Low Difficulty - only applicable if all habitat created before losses",P14&gt;=O14),"Low",VLOOKUP(F14,'G-3 Multipliers'!$A$2:$E$134,4,FALSE))))</f>
        <v>Low</v>
      </c>
      <c r="X14" s="386">
        <f>IFERROR(IF(E14="","",VLOOKUP(W14, 'G-3 Multipliers'!$P$2:$Q$6,2,FALSE)),"")</f>
        <v>1</v>
      </c>
      <c r="Y14" s="390">
        <f t="shared" si="4"/>
        <v>63.793125504139212</v>
      </c>
      <c r="Z14" s="194" t="s">
        <v>1714</v>
      </c>
      <c r="AA14" s="195"/>
      <c r="AB14" s="120"/>
      <c r="AE14" s="40">
        <f t="shared" si="0"/>
        <v>2</v>
      </c>
    </row>
    <row r="15" spans="1:34" ht="27.6" x14ac:dyDescent="0.25">
      <c r="A15" s="35" t="str">
        <f>IFERROR(INDEX('G-8 Condition Look up'!$I$4:$I$135,MATCH(F15,'G-8 Condition Look up'!$A$4:$A$135,0)),"")</f>
        <v>Cond2</v>
      </c>
      <c r="C15" s="299" t="str">
        <f>IFERROR(INDEX('G-1 All Habitats'!$AG$3:$AG$17,MATCH(D15,'G-1 All Habitats'!$AF$3:$AF$17,0)),"")</f>
        <v>Urban</v>
      </c>
      <c r="D15" s="54" t="s">
        <v>129</v>
      </c>
      <c r="E15" s="61" t="s">
        <v>696</v>
      </c>
      <c r="F15" s="296" t="str">
        <f>IFERROR(INDEX('G-1 All Habitats'!$B$3:$B$134,MATCH(E15,'G-1 All Habitats'!$A$3:$A$134,0)),"")</f>
        <v>Urban - Developed land; sealed surface</v>
      </c>
      <c r="G15" s="53">
        <v>0.16800000000000001</v>
      </c>
      <c r="H15" s="362" t="str">
        <f>IF(F15="","",VLOOKUP(F15,'G-1 All Habitats'!$B$2:$M$134,10,FALSE))</f>
        <v>V.Low</v>
      </c>
      <c r="I15" s="363">
        <f>IFERROR(VLOOKUP(H15,'G-1 All Habitats'!$V$3:$W$7,2,FALSE),"")</f>
        <v>0</v>
      </c>
      <c r="J15" s="54" t="s">
        <v>496</v>
      </c>
      <c r="K15" s="363">
        <f>IFERROR(INDEX('G-8 Condition Look up'!$A$3:$H$135,MATCH(F15,'G-8 Condition Look up'!$A$3:$A$135,0),MATCH(J15,'G-8 Condition Look up'!$A$3:$H$3,0)),"")</f>
        <v>0</v>
      </c>
      <c r="L15" s="54" t="s">
        <v>1034</v>
      </c>
      <c r="M15" s="370" t="str">
        <f>IF(L15="","",IF(VLOOKUP(L15,'G-3 Multipliers'!$L$3:$N$6,2,FALSE)=0,"Spatial Data Missing",VLOOKUP(L15,'G-3 Multipliers'!$L$3:$N$6,2,FALSE)))</f>
        <v>Low Strategic Significance</v>
      </c>
      <c r="N15" s="368">
        <f>IF(L15="","",IF(VLOOKUP(L15,'G-3 Multipliers'!$L$3:$N$6,3,FALSE)=0,"Spatial Data Missing",VLOOKUP(L15,'G-3 Multipliers'!$L$3:$N$6,3,FALSE)))</f>
        <v>1</v>
      </c>
      <c r="O15" s="362">
        <f t="shared" si="1"/>
        <v>0</v>
      </c>
      <c r="P15" s="63">
        <v>0</v>
      </c>
      <c r="Q15" s="63">
        <v>0</v>
      </c>
      <c r="R15" s="370" t="str">
        <f t="shared" si="2"/>
        <v>Standard time to target condition applied</v>
      </c>
      <c r="S15" s="383">
        <f t="shared" si="3"/>
        <v>0</v>
      </c>
      <c r="T15" s="384">
        <f>IFERROR(IF(S15="Check Data ⚠","Check Data ⚠",VLOOKUP(S15,'G-4 Temporal multipliers'!$A$4:$C$37,3,FALSE)),"")</f>
        <v>1</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Medium</v>
      </c>
      <c r="X15" s="386">
        <f>IFERROR(IF(E15="","",VLOOKUP(W15, 'G-3 Multipliers'!$P$2:$Q$6,2,FALSE)),"")</f>
        <v>0.67</v>
      </c>
      <c r="Y15" s="390">
        <f t="shared" si="4"/>
        <v>0</v>
      </c>
      <c r="Z15" s="194" t="s">
        <v>1715</v>
      </c>
      <c r="AA15" s="195"/>
      <c r="AB15" s="120"/>
      <c r="AE15" s="40" t="str">
        <f t="shared" si="0"/>
        <v>Not Possible</v>
      </c>
    </row>
    <row r="16" spans="1:34" ht="69" x14ac:dyDescent="0.25">
      <c r="A16" s="35" t="str">
        <f>IFERROR(INDEX('G-8 Condition Look up'!$I$4:$I$135,MATCH(F16,'G-8 Condition Look up'!$A$4:$A$135,0)),"")</f>
        <v>Cond4</v>
      </c>
      <c r="C16" s="299" t="str">
        <f>IFERROR(INDEX('G-1 All Habitats'!$AG$3:$AG$17,MATCH(D16,'G-1 All Habitats'!$AF$3:$AF$17,0)),"")</f>
        <v>Grassland</v>
      </c>
      <c r="D16" s="54" t="s">
        <v>125</v>
      </c>
      <c r="E16" s="61" t="s">
        <v>537</v>
      </c>
      <c r="F16" s="296" t="str">
        <f>IFERROR(INDEX('G-1 All Habitats'!$B$3:$B$134,MATCH(E16,'G-1 All Habitats'!$A$3:$A$134,0)),"")</f>
        <v>Grassland - Modified grassland</v>
      </c>
      <c r="G16" s="53">
        <f>33.673-0.4-0.22</f>
        <v>33.053000000000004</v>
      </c>
      <c r="H16" s="362" t="str">
        <f>IF(F16="","",VLOOKUP(F16,'G-1 All Habitats'!$B$2:$M$134,10,FALSE))</f>
        <v>Low</v>
      </c>
      <c r="I16" s="363">
        <f>IFERROR(VLOOKUP(H16,'G-1 All Habitats'!$V$3:$W$7,2,FALSE),"")</f>
        <v>2</v>
      </c>
      <c r="J16" s="54" t="s">
        <v>67</v>
      </c>
      <c r="K16" s="363">
        <f>IFERROR(INDEX('G-8 Condition Look up'!$A$3:$H$135,MATCH(F16,'G-8 Condition Look up'!$A$3:$A$135,0),MATCH(J16,'G-8 Condition Look up'!$A$3:$H$3,0)),"")</f>
        <v>2</v>
      </c>
      <c r="L16" s="54" t="s">
        <v>1034</v>
      </c>
      <c r="M16" s="370" t="str">
        <f>IF(L16="","",IF(VLOOKUP(L16,'G-3 Multipliers'!$L$3:$N$6,2,FALSE)=0,"Spatial Data Missing",VLOOKUP(L16,'G-3 Multipliers'!$L$3:$N$6,2,FALSE)))</f>
        <v>Low Strategic Significance</v>
      </c>
      <c r="N16" s="368">
        <f>IF(L16="","",IF(VLOOKUP(L16,'G-3 Multipliers'!$L$3:$N$6,3,FALSE)=0,"Spatial Data Missing",VLOOKUP(L16,'G-3 Multipliers'!$L$3:$N$6,3,FALSE)))</f>
        <v>1</v>
      </c>
      <c r="O16" s="362">
        <f t="shared" si="1"/>
        <v>4</v>
      </c>
      <c r="P16" s="63">
        <v>0</v>
      </c>
      <c r="Q16" s="63">
        <v>0</v>
      </c>
      <c r="R16" s="370" t="str">
        <f t="shared" si="2"/>
        <v>Standard time to target condition applied</v>
      </c>
      <c r="S16" s="383">
        <f t="shared" si="3"/>
        <v>4</v>
      </c>
      <c r="T16" s="384">
        <f>IFERROR(IF(S16="Check Data ⚠","Check Data ⚠",VLOOKUP(S16,'G-4 Temporal multipliers'!$A$4:$C$37,3,FALSE)),"")</f>
        <v>0.86718000059999989</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Low</v>
      </c>
      <c r="X16" s="386">
        <f>IFERROR(IF(E16="","",VLOOKUP(W16, 'G-3 Multipliers'!$P$2:$Q$6,2,FALSE)),"")</f>
        <v>1</v>
      </c>
      <c r="Y16" s="390">
        <f t="shared" si="4"/>
        <v>114.6516022393272</v>
      </c>
      <c r="Z16" s="194" t="s">
        <v>1716</v>
      </c>
      <c r="AA16" s="195"/>
      <c r="AB16" s="120"/>
      <c r="AE16" s="40">
        <f t="shared" si="0"/>
        <v>1</v>
      </c>
    </row>
    <row r="17" spans="1:31" ht="27.6" x14ac:dyDescent="0.25">
      <c r="A17" s="35" t="str">
        <f>IFERROR(INDEX('G-8 Condition Look up'!$I$4:$I$135,MATCH(F17,'G-8 Condition Look up'!$A$4:$A$135,0)),"")</f>
        <v>Cond2</v>
      </c>
      <c r="C17" s="299" t="str">
        <f>IFERROR(INDEX('G-1 All Habitats'!$AG$3:$AG$17,MATCH(D17,'G-1 All Habitats'!$AF$3:$AF$17,0)),"")</f>
        <v>Urban</v>
      </c>
      <c r="D17" s="54" t="s">
        <v>129</v>
      </c>
      <c r="E17" s="61" t="s">
        <v>696</v>
      </c>
      <c r="F17" s="296" t="str">
        <f>IFERROR(INDEX('G-1 All Habitats'!$B$3:$B$134,MATCH(E17,'G-1 All Habitats'!$A$3:$A$134,0)),"")</f>
        <v>Urban - Developed land; sealed surface</v>
      </c>
      <c r="G17" s="53">
        <v>0.129</v>
      </c>
      <c r="H17" s="362" t="str">
        <f>IF(F17="","",VLOOKUP(F17,'G-1 All Habitats'!$B$2:$M$134,10,FALSE))</f>
        <v>V.Low</v>
      </c>
      <c r="I17" s="363">
        <f>IFERROR(VLOOKUP(H17,'G-1 All Habitats'!$V$3:$W$7,2,FALSE),"")</f>
        <v>0</v>
      </c>
      <c r="J17" s="54" t="s">
        <v>496</v>
      </c>
      <c r="K17" s="363">
        <f>IFERROR(INDEX('G-8 Condition Look up'!$A$3:$H$135,MATCH(F17,'G-8 Condition Look up'!$A$3:$A$135,0),MATCH(J17,'G-8 Condition Look up'!$A$3:$H$3,0)),"")</f>
        <v>0</v>
      </c>
      <c r="L17" s="54" t="s">
        <v>1034</v>
      </c>
      <c r="M17" s="370" t="str">
        <f>IF(L17="","",IF(VLOOKUP(L17,'G-3 Multipliers'!$L$3:$N$6,2,FALSE)=0,"Spatial Data Missing",VLOOKUP(L17,'G-3 Multipliers'!$L$3:$N$6,2,FALSE)))</f>
        <v>Low Strategic Significance</v>
      </c>
      <c r="N17" s="368">
        <f>IF(L17="","",IF(VLOOKUP(L17,'G-3 Multipliers'!$L$3:$N$6,3,FALSE)=0,"Spatial Data Missing",VLOOKUP(L17,'G-3 Multipliers'!$L$3:$N$6,3,FALSE)))</f>
        <v>1</v>
      </c>
      <c r="O17" s="362">
        <f t="shared" si="1"/>
        <v>0</v>
      </c>
      <c r="P17" s="63">
        <v>0</v>
      </c>
      <c r="Q17" s="63">
        <v>0</v>
      </c>
      <c r="R17" s="370" t="str">
        <f t="shared" si="2"/>
        <v>Standard time to target condition applied</v>
      </c>
      <c r="S17" s="383">
        <f t="shared" si="3"/>
        <v>0</v>
      </c>
      <c r="T17" s="384">
        <f>IFERROR(IF(S17="Check Data ⚠","Check Data ⚠",VLOOKUP(S17,'G-4 Temporal multipliers'!$A$4:$C$37,3,FALSE)),"")</f>
        <v>1</v>
      </c>
      <c r="U17" s="385" t="str">
        <f>IF(F17="","",VLOOKUP(F17,'G-3 Multipliers'!$A$2:$E$134,2,FALSE))</f>
        <v>Low</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0</v>
      </c>
      <c r="Z17" s="194" t="s">
        <v>1717</v>
      </c>
      <c r="AA17" s="195"/>
      <c r="AB17" s="120"/>
      <c r="AE17" s="40" t="str">
        <f t="shared" si="0"/>
        <v>Not Possible</v>
      </c>
    </row>
    <row r="18" spans="1:31" ht="41.4" x14ac:dyDescent="0.25">
      <c r="A18" s="35" t="str">
        <f>IFERROR(INDEX('G-8 Condition Look up'!$I$4:$I$135,MATCH(F18,'G-8 Condition Look up'!$A$4:$A$135,0)),"")</f>
        <v>Cond2</v>
      </c>
      <c r="C18" s="299" t="str">
        <f>IFERROR(INDEX('G-1 All Habitats'!$AG$3:$AG$17,MATCH(D18,'G-1 All Habitats'!$AF$3:$AF$17,0)),"")</f>
        <v>Urban</v>
      </c>
      <c r="D18" s="54" t="s">
        <v>129</v>
      </c>
      <c r="E18" s="61" t="s">
        <v>696</v>
      </c>
      <c r="F18" s="296" t="str">
        <f>IFERROR(INDEX('G-1 All Habitats'!$B$3:$B$134,MATCH(E18,'G-1 All Habitats'!$A$3:$A$134,0)),"")</f>
        <v>Urban - Developed land; sealed surface</v>
      </c>
      <c r="G18" s="53">
        <v>1.0009999999999999</v>
      </c>
      <c r="H18" s="362" t="str">
        <f>IF(F18="","",VLOOKUP(F18,'G-1 All Habitats'!$B$2:$M$134,10,FALSE))</f>
        <v>V.Low</v>
      </c>
      <c r="I18" s="363">
        <f>IFERROR(VLOOKUP(H18,'G-1 All Habitats'!$V$3:$W$7,2,FALSE),"")</f>
        <v>0</v>
      </c>
      <c r="J18" s="54" t="s">
        <v>496</v>
      </c>
      <c r="K18" s="363">
        <f>IFERROR(INDEX('G-8 Condition Look up'!$A$3:$H$135,MATCH(F18,'G-8 Condition Look up'!$A$3:$A$135,0),MATCH(J18,'G-8 Condition Look up'!$A$3:$H$3,0)),"")</f>
        <v>0</v>
      </c>
      <c r="L18" s="54" t="s">
        <v>1034</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0</v>
      </c>
      <c r="R18" s="370" t="str">
        <f t="shared" si="2"/>
        <v>Standard time to target condition applied</v>
      </c>
      <c r="S18" s="383">
        <f t="shared" si="3"/>
        <v>0</v>
      </c>
      <c r="T18" s="384">
        <f>IFERROR(IF(S18="Check Data ⚠","Check Data ⚠",VLOOKUP(S18,'G-4 Temporal multipliers'!$A$4:$C$37,3,FALSE)),"")</f>
        <v>1</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1718</v>
      </c>
      <c r="AA18" s="195"/>
      <c r="AB18" s="120"/>
      <c r="AE18" s="40" t="str">
        <f t="shared" si="0"/>
        <v>Not Possible</v>
      </c>
    </row>
    <row r="19" spans="1:31" ht="55.2" x14ac:dyDescent="0.25">
      <c r="A19" s="35" t="str">
        <f>IFERROR(INDEX('G-8 Condition Look up'!$I$4:$I$135,MATCH(F19,'G-8 Condition Look up'!$A$4:$A$135,0)),"")</f>
        <v>Cond4</v>
      </c>
      <c r="C19" s="299" t="str">
        <f>IFERROR(INDEX('G-1 All Habitats'!$AG$3:$AG$17,MATCH(D19,'G-1 All Habitats'!$AF$3:$AF$17,0)),"")</f>
        <v>Woodland_and_forest</v>
      </c>
      <c r="D19" s="54" t="s">
        <v>131</v>
      </c>
      <c r="E19" s="61" t="s">
        <v>800</v>
      </c>
      <c r="F19" s="296" t="str">
        <f>IFERROR(INDEX('G-1 All Habitats'!$B$3:$B$134,MATCH(E19,'G-1 All Habitats'!$A$3:$A$134,0)),"")</f>
        <v>Woodland and forest - Other woodland; broadleaved</v>
      </c>
      <c r="G19" s="53">
        <f>0.456+0.805</f>
        <v>1.2610000000000001</v>
      </c>
      <c r="H19" s="362" t="str">
        <f>IF(F19="","",VLOOKUP(F19,'G-1 All Habitats'!$B$2:$M$134,10,FALSE))</f>
        <v>Medium</v>
      </c>
      <c r="I19" s="363">
        <f>IFERROR(VLOOKUP(H19,'G-1 All Habitats'!$V$3:$W$7,2,FALSE),"")</f>
        <v>4</v>
      </c>
      <c r="J19" s="54" t="s">
        <v>67</v>
      </c>
      <c r="K19" s="363">
        <f>IFERROR(INDEX('G-8 Condition Look up'!$A$3:$H$135,MATCH(F19,'G-8 Condition Look up'!$A$3:$A$135,0),MATCH(J19,'G-8 Condition Look up'!$A$3:$H$3,0)),"")</f>
        <v>2</v>
      </c>
      <c r="L19" s="54" t="s">
        <v>1034</v>
      </c>
      <c r="M19" s="370" t="str">
        <f>IF(L19="","",IF(VLOOKUP(L19,'G-3 Multipliers'!$L$3:$N$6,2,FALSE)=0,"Spatial Data Missing",VLOOKUP(L19,'G-3 Multipliers'!$L$3:$N$6,2,FALSE)))</f>
        <v>Low Strategic Significance</v>
      </c>
      <c r="N19" s="368">
        <f>IF(L19="","",IF(VLOOKUP(L19,'G-3 Multipliers'!$L$3:$N$6,3,FALSE)=0,"Spatial Data Missing",VLOOKUP(L19,'G-3 Multipliers'!$L$3:$N$6,3,FALSE)))</f>
        <v>1</v>
      </c>
      <c r="O19" s="362">
        <f t="shared" si="1"/>
        <v>15</v>
      </c>
      <c r="P19" s="63">
        <v>0</v>
      </c>
      <c r="Q19" s="63">
        <v>0</v>
      </c>
      <c r="R19" s="370" t="str">
        <f t="shared" si="2"/>
        <v>Standard time to target condition applied</v>
      </c>
      <c r="S19" s="383">
        <f t="shared" si="3"/>
        <v>15</v>
      </c>
      <c r="T19" s="384">
        <f>IFERROR(IF(S19="Check Data ⚠","Check Data ⚠",VLOOKUP(S19,'G-4 Temporal multipliers'!$A$4:$C$37,3,FALSE)),"")</f>
        <v>0.58601630550000006</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Low</v>
      </c>
      <c r="X19" s="386">
        <f>IFERROR(IF(E19="","",VLOOKUP(W19, 'G-3 Multipliers'!$P$2:$Q$6,2,FALSE)),"")</f>
        <v>1</v>
      </c>
      <c r="Y19" s="390">
        <f t="shared" si="4"/>
        <v>5.9117324898840016</v>
      </c>
      <c r="Z19" s="194" t="s">
        <v>1719</v>
      </c>
      <c r="AA19" s="195"/>
      <c r="AB19" s="120"/>
      <c r="AE19" s="40">
        <f t="shared" si="0"/>
        <v>5</v>
      </c>
    </row>
    <row r="20" spans="1:31" ht="69" x14ac:dyDescent="0.25">
      <c r="A20" s="35" t="str">
        <f>IFERROR(INDEX('G-8 Condition Look up'!$I$4:$I$135,MATCH(F20,'G-8 Condition Look up'!$A$4:$A$135,0)),"")</f>
        <v>Cond4</v>
      </c>
      <c r="C20" s="299" t="str">
        <f>IFERROR(INDEX('G-1 All Habitats'!$AG$3:$AG$17,MATCH(D20,'G-1 All Habitats'!$AF$3:$AF$17,0)),"")</f>
        <v>Heathland_and_shrub</v>
      </c>
      <c r="D20" s="54" t="s">
        <v>126</v>
      </c>
      <c r="E20" s="61" t="s">
        <v>586</v>
      </c>
      <c r="F20" s="296" t="str">
        <f>IFERROR(INDEX('G-1 All Habitats'!$B$3:$B$134,MATCH(E20,'G-1 All Habitats'!$A$3:$A$134,0)),"")</f>
        <v>Heathland and shrub - Mixed scrub</v>
      </c>
      <c r="G20" s="53">
        <v>0.66100000000000003</v>
      </c>
      <c r="H20" s="362" t="str">
        <f>IF(F20="","",VLOOKUP(F20,'G-1 All Habitats'!$B$2:$M$134,10,FALSE))</f>
        <v>Medium</v>
      </c>
      <c r="I20" s="363">
        <f>IFERROR(VLOOKUP(H20,'G-1 All Habitats'!$V$3:$W$7,2,FALSE),"")</f>
        <v>4</v>
      </c>
      <c r="J20" s="54" t="s">
        <v>67</v>
      </c>
      <c r="K20" s="363">
        <f>IFERROR(INDEX('G-8 Condition Look up'!$A$3:$H$135,MATCH(F20,'G-8 Condition Look up'!$A$3:$A$135,0),MATCH(J20,'G-8 Condition Look up'!$A$3:$H$3,0)),"")</f>
        <v>2</v>
      </c>
      <c r="L20" s="54" t="s">
        <v>1034</v>
      </c>
      <c r="M20" s="370" t="str">
        <f>IF(L20="","",IF(VLOOKUP(L20,'G-3 Multipliers'!$L$3:$N$6,2,FALSE)=0,"Spatial Data Missing",VLOOKUP(L20,'G-3 Multipliers'!$L$3:$N$6,2,FALSE)))</f>
        <v>Low Strategic Significance</v>
      </c>
      <c r="N20" s="368">
        <f>IF(L20="","",IF(VLOOKUP(L20,'G-3 Multipliers'!$L$3:$N$6,3,FALSE)=0,"Spatial Data Missing",VLOOKUP(L20,'G-3 Multipliers'!$L$3:$N$6,3,FALSE)))</f>
        <v>1</v>
      </c>
      <c r="O20" s="362">
        <f t="shared" si="1"/>
        <v>5</v>
      </c>
      <c r="P20" s="63">
        <v>0</v>
      </c>
      <c r="Q20" s="63">
        <v>0</v>
      </c>
      <c r="R20" s="370" t="str">
        <f t="shared" si="2"/>
        <v>Standard time to target condition applied</v>
      </c>
      <c r="S20" s="383">
        <f t="shared" si="3"/>
        <v>5</v>
      </c>
      <c r="T20" s="384">
        <f>IFERROR(IF(S20="Check Data ⚠","Check Data ⚠",VLOOKUP(S20,'G-4 Temporal multipliers'!$A$4:$C$37,3,FALSE)),"")</f>
        <v>0.83682870060000003</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Low</v>
      </c>
      <c r="X20" s="386">
        <f>IFERROR(IF(E20="","",VLOOKUP(W20, 'G-3 Multipliers'!$P$2:$Q$6,2,FALSE)),"")</f>
        <v>1</v>
      </c>
      <c r="Y20" s="390">
        <f t="shared" si="4"/>
        <v>4.4251501687728005</v>
      </c>
      <c r="Z20" s="194" t="s">
        <v>1720</v>
      </c>
      <c r="AA20" s="195"/>
      <c r="AB20" s="120"/>
      <c r="AE20" s="40">
        <f t="shared" si="0"/>
        <v>1</v>
      </c>
    </row>
    <row r="21" spans="1:31" x14ac:dyDescent="0.25">
      <c r="A21" s="35" t="str">
        <f>IFERROR(INDEX('G-8 Condition Look up'!$I$4:$I$135,MATCH(F21,'G-8 Condition Look up'!$A$4:$A$135,0)),"")</f>
        <v/>
      </c>
      <c r="C21" s="299" t="str">
        <f>IFERROR(INDEX('G-1 All Habitats'!$AG$3:$AG$17,MATCH(D21,'G-1 All Habitats'!$AF$3:$AF$17,0)),"")</f>
        <v/>
      </c>
      <c r="D21" s="54"/>
      <c r="E21" s="61"/>
      <c r="F21" s="296" t="str">
        <f>IFERROR(INDEX('G-1 All Habitats'!$B$3:$B$134,MATCH(E21,'G-1 All Habitats'!$A$3:$A$134,0)),"")</f>
        <v/>
      </c>
      <c r="G21" s="53"/>
      <c r="H21" s="362" t="str">
        <f>IF(F21="","",VLOOKUP(F21,'G-1 All Habitats'!$B$2:$M$134,10,FALSE))</f>
        <v/>
      </c>
      <c r="I21" s="363" t="str">
        <f>IFERROR(VLOOKUP(H21,'G-1 All Habitats'!$V$3:$W$7,2,FALSE),"")</f>
        <v/>
      </c>
      <c r="J21" s="54"/>
      <c r="K21" s="363" t="str">
        <f>IFERROR(INDEX('G-8 Condition Look up'!$A$3:$H$135,MATCH(F21,'G-8 Condition Look up'!$A$3:$A$135,0),MATCH(J21,'G-8 Condition Look up'!$A$3:$H$3,0)),"")</f>
        <v/>
      </c>
      <c r="L21" s="54"/>
      <c r="M21" s="370" t="str">
        <f>IF(L21="","",IF(VLOOKUP(L21,'G-3 Multipliers'!$L$3:$N$6,2,FALSE)=0,"Spatial Data Missing",VLOOKUP(L21,'G-3 Multipliers'!$L$3:$N$6,2,FALSE)))</f>
        <v/>
      </c>
      <c r="N21" s="368" t="str">
        <f>IF(L21="","",IF(VLOOKUP(L21,'G-3 Multipliers'!$L$3:$N$6,3,FALSE)=0,"Spatial Data Missing",VLOOKUP(L21,'G-3 Multipliers'!$L$3:$N$6,3,FALSE)))</f>
        <v/>
      </c>
      <c r="O21" s="362" t="str">
        <f t="shared" si="1"/>
        <v/>
      </c>
      <c r="P21" s="63"/>
      <c r="Q21" s="63"/>
      <c r="R21" s="370" t="str">
        <f t="shared" si="2"/>
        <v/>
      </c>
      <c r="S21" s="383" t="str">
        <f t="shared" si="3"/>
        <v/>
      </c>
      <c r="T21" s="384"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losses",P21&gt;=O21),"Low",VLOOKUP(F21,'G-3 Multipliers'!$A$2:$E$134,4,FALSE))))</f>
        <v/>
      </c>
      <c r="X21" s="386" t="str">
        <f>IFERROR(IF(E21="","",VLOOKUP(W21, 'G-3 Multipliers'!$P$2:$Q$6,2,FALSE)),"")</f>
        <v/>
      </c>
      <c r="Y21" s="390" t="str">
        <f t="shared" si="4"/>
        <v/>
      </c>
      <c r="Z21" s="194"/>
      <c r="AA21" s="195"/>
      <c r="AB21" s="120"/>
      <c r="AE21" s="40" t="str">
        <f t="shared" si="0"/>
        <v/>
      </c>
    </row>
    <row r="22" spans="1:31" x14ac:dyDescent="0.25">
      <c r="A22" s="35" t="str">
        <f>IFERROR(INDEX('G-8 Condition Look up'!$I$4:$I$135,MATCH(F22,'G-8 Condition Look up'!$A$4:$A$135,0)),"")</f>
        <v/>
      </c>
      <c r="C22" s="299" t="str">
        <f>IFERROR(INDEX('G-1 All Habitats'!$AG$3:$AG$17,MATCH(D22,'G-1 All Habitats'!$AF$3:$AF$17,0)),"")</f>
        <v/>
      </c>
      <c r="D22" s="54"/>
      <c r="E22" s="61"/>
      <c r="F22" s="296" t="str">
        <f>IFERROR(INDEX('G-1 All Habitats'!$B$3:$B$134,MATCH(E22,'G-1 All Habitats'!$A$3:$A$134,0)),"")</f>
        <v/>
      </c>
      <c r="G22" s="53"/>
      <c r="H22" s="362" t="str">
        <f>IF(F22="","",VLOOKUP(F22,'G-1 All Habitats'!$B$2:$M$134,10,FALSE))</f>
        <v/>
      </c>
      <c r="I22" s="363" t="str">
        <f>IFERROR(VLOOKUP(H22,'G-1 All Habitats'!$V$3:$W$7,2,FALSE),"")</f>
        <v/>
      </c>
      <c r="J22" s="54"/>
      <c r="K22" s="363" t="str">
        <f>IFERROR(INDEX('G-8 Condition Look up'!$A$3:$H$135,MATCH(F22,'G-8 Condition Look up'!$A$3:$A$135,0),MATCH(J22,'G-8 Condition Look up'!$A$3:$H$3,0)),"")</f>
        <v/>
      </c>
      <c r="L22" s="54"/>
      <c r="M22" s="370" t="str">
        <f>IF(L22="","",IF(VLOOKUP(L22,'G-3 Multipliers'!$L$3:$N$6,2,FALSE)=0,"Spatial Data Missing",VLOOKUP(L22,'G-3 Multipliers'!$L$3:$N$6,2,FALSE)))</f>
        <v/>
      </c>
      <c r="N22" s="368" t="str">
        <f>IF(L22="","",IF(VLOOKUP(L22,'G-3 Multipliers'!$L$3:$N$6,3,FALSE)=0,"Spatial Data Missing",VLOOKUP(L22,'G-3 Multipliers'!$L$3:$N$6,3,FALSE)))</f>
        <v/>
      </c>
      <c r="O22" s="362" t="str">
        <f t="shared" si="1"/>
        <v/>
      </c>
      <c r="P22" s="63"/>
      <c r="Q22" s="63"/>
      <c r="R22" s="370" t="str">
        <f t="shared" si="2"/>
        <v/>
      </c>
      <c r="S22" s="383" t="str">
        <f t="shared" si="3"/>
        <v/>
      </c>
      <c r="T22" s="384"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losses",P22&gt;=O22),"Low",VLOOKUP(F22,'G-3 Multipliers'!$A$2:$E$134,4,FALSE))))</f>
        <v/>
      </c>
      <c r="X22" s="386" t="str">
        <f>IFERROR(IF(E22="","",VLOOKUP(W22, 'G-3 Multipliers'!$P$2:$Q$6,2,FALSE)),"")</f>
        <v/>
      </c>
      <c r="Y22" s="390" t="str">
        <f t="shared" si="4"/>
        <v/>
      </c>
      <c r="Z22" s="194"/>
      <c r="AA22" s="195"/>
      <c r="AB22" s="120"/>
      <c r="AE22" s="40" t="str">
        <f t="shared" si="0"/>
        <v/>
      </c>
    </row>
    <row r="23" spans="1:31" x14ac:dyDescent="0.25">
      <c r="A23" s="35" t="str">
        <f>IFERROR(INDEX('G-8 Condition Look up'!$I$4:$I$135,MATCH(F23,'G-8 Condition Look up'!$A$4:$A$135,0)),"")</f>
        <v/>
      </c>
      <c r="C23" s="299" t="str">
        <f>IFERROR(INDEX('G-1 All Habitats'!$AG$3:$AG$17,MATCH(D23,'G-1 All Habitats'!$AF$3:$AF$17,0)),"")</f>
        <v/>
      </c>
      <c r="D23" s="54"/>
      <c r="E23" s="61"/>
      <c r="F23" s="296" t="str">
        <f>IFERROR(INDEX('G-1 All Habitats'!$B$3:$B$134,MATCH(E23,'G-1 All Habitats'!$A$3:$A$134,0)),"")</f>
        <v/>
      </c>
      <c r="G23" s="53"/>
      <c r="H23" s="362" t="str">
        <f>IF(F23="","",VLOOKUP(F23,'G-1 All Habitats'!$B$2:$M$134,10,FALSE))</f>
        <v/>
      </c>
      <c r="I23" s="363" t="str">
        <f>IFERROR(VLOOKUP(H23,'G-1 All Habitats'!$V$3:$W$7,2,FALSE),"")</f>
        <v/>
      </c>
      <c r="J23" s="54"/>
      <c r="K23" s="363" t="str">
        <f>IFERROR(INDEX('G-8 Condition Look up'!$A$3:$H$135,MATCH(F23,'G-8 Condition Look up'!$A$3:$A$135,0),MATCH(J23,'G-8 Condition Look up'!$A$3:$H$3,0)),"")</f>
        <v/>
      </c>
      <c r="L23" s="54"/>
      <c r="M23" s="370" t="str">
        <f>IF(L23="","",IF(VLOOKUP(L23,'G-3 Multipliers'!$L$3:$N$6,2,FALSE)=0,"Spatial Data Missing",VLOOKUP(L23,'G-3 Multipliers'!$L$3:$N$6,2,FALSE)))</f>
        <v/>
      </c>
      <c r="N23" s="368" t="str">
        <f>IF(L23="","",IF(VLOOKUP(L23,'G-3 Multipliers'!$L$3:$N$6,3,FALSE)=0,"Spatial Data Missing",VLOOKUP(L23,'G-3 Multipliers'!$L$3:$N$6,3,FALSE)))</f>
        <v/>
      </c>
      <c r="O23" s="362" t="str">
        <f t="shared" si="1"/>
        <v/>
      </c>
      <c r="P23" s="63"/>
      <c r="Q23" s="63"/>
      <c r="R23" s="370" t="str">
        <f t="shared" si="2"/>
        <v/>
      </c>
      <c r="S23" s="383" t="str">
        <f t="shared" si="3"/>
        <v/>
      </c>
      <c r="T23" s="384"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losses",P23&gt;=O23),"Low",VLOOKUP(F23,'G-3 Multipliers'!$A$2:$E$134,4,FALSE))))</f>
        <v/>
      </c>
      <c r="X23" s="386" t="str">
        <f>IFERROR(IF(E23="","",VLOOKUP(W23, 'G-3 Multipliers'!$P$2:$Q$6,2,FALSE)),"")</f>
        <v/>
      </c>
      <c r="Y23" s="390" t="str">
        <f t="shared" si="4"/>
        <v/>
      </c>
      <c r="Z23" s="194"/>
      <c r="AA23" s="195"/>
      <c r="AB23" s="120"/>
      <c r="AE23" s="40" t="str">
        <f t="shared" si="0"/>
        <v/>
      </c>
    </row>
    <row r="24" spans="1:31" x14ac:dyDescent="0.25">
      <c r="A24" s="35" t="str">
        <f>IFERROR(INDEX('G-8 Condition Look up'!$I$4:$I$135,MATCH(F24,'G-8 Condition Look up'!$A$4:$A$135,0)),"")</f>
        <v/>
      </c>
      <c r="C24" s="299" t="str">
        <f>IFERROR(INDEX('G-1 All Habitats'!$AG$3:$AG$17,MATCH(D24,'G-1 All Habitats'!$AF$3:$AF$17,0)),"")</f>
        <v/>
      </c>
      <c r="D24" s="54"/>
      <c r="E24" s="61"/>
      <c r="F24" s="296" t="str">
        <f>IFERROR(INDEX('G-1 All Habitats'!$B$3:$B$134,MATCH(E24,'G-1 All Habitats'!$A$3:$A$134,0)),"")</f>
        <v/>
      </c>
      <c r="G24" s="53"/>
      <c r="H24" s="362" t="str">
        <f>IF(F24="","",VLOOKUP(F24,'G-1 All Habitats'!$B$2:$M$134,10,FALSE))</f>
        <v/>
      </c>
      <c r="I24" s="363" t="str">
        <f>IFERROR(VLOOKUP(H24,'G-1 All Habitats'!$V$3:$W$7,2,FALSE),"")</f>
        <v/>
      </c>
      <c r="J24" s="54"/>
      <c r="K24" s="363" t="str">
        <f>IFERROR(INDEX('G-8 Condition Look up'!$A$3:$H$135,MATCH(F24,'G-8 Condition Look up'!$A$3:$A$135,0),MATCH(J24,'G-8 Condition Look up'!$A$3:$H$3,0)),"")</f>
        <v/>
      </c>
      <c r="L24" s="54"/>
      <c r="M24" s="370" t="str">
        <f>IF(L24="","",IF(VLOOKUP(L24,'G-3 Multipliers'!$L$3:$N$6,2,FALSE)=0,"Spatial Data Missing",VLOOKUP(L24,'G-3 Multipliers'!$L$3:$N$6,2,FALSE)))</f>
        <v/>
      </c>
      <c r="N24" s="368" t="str">
        <f>IF(L24="","",IF(VLOOKUP(L24,'G-3 Multipliers'!$L$3:$N$6,3,FALSE)=0,"Spatial Data Missing",VLOOKUP(L24,'G-3 Multipliers'!$L$3:$N$6,3,FALSE)))</f>
        <v/>
      </c>
      <c r="O24" s="362" t="str">
        <f t="shared" si="1"/>
        <v/>
      </c>
      <c r="P24" s="63"/>
      <c r="Q24" s="63"/>
      <c r="R24" s="370" t="str">
        <f t="shared" si="2"/>
        <v/>
      </c>
      <c r="S24" s="383" t="str">
        <f t="shared" si="3"/>
        <v/>
      </c>
      <c r="T24" s="384"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losses",P24&gt;=O24),"Low",VLOOKUP(F24,'G-3 Multipliers'!$A$2:$E$134,4,FALSE))))</f>
        <v/>
      </c>
      <c r="X24" s="386" t="str">
        <f>IFERROR(IF(E24="","",VLOOKUP(W24, 'G-3 Multipliers'!$P$2:$Q$6,2,FALSE)),"")</f>
        <v/>
      </c>
      <c r="Y24" s="390" t="str">
        <f t="shared" si="4"/>
        <v/>
      </c>
      <c r="Z24" s="194"/>
      <c r="AA24" s="195"/>
      <c r="AB24" s="120"/>
      <c r="AE24" s="40" t="str">
        <f t="shared" si="0"/>
        <v/>
      </c>
    </row>
    <row r="25" spans="1:31" x14ac:dyDescent="0.25">
      <c r="A25" s="35" t="str">
        <f>IFERROR(INDEX('G-8 Condition Look up'!$I$4:$I$135,MATCH(F25,'G-8 Condition Look up'!$A$4:$A$135,0)),"")</f>
        <v/>
      </c>
      <c r="C25" s="299" t="str">
        <f>IFERROR(INDEX('G-1 All Habitats'!$AG$3:$AG$17,MATCH(D25,'G-1 All Habitats'!$AF$3:$AF$17,0)),"")</f>
        <v/>
      </c>
      <c r="D25" s="54"/>
      <c r="E25" s="61"/>
      <c r="F25" s="296" t="str">
        <f>IFERROR(INDEX('G-1 All Habitats'!$B$3:$B$134,MATCH(E25,'G-1 All Habitats'!$A$3:$A$134,0)),"")</f>
        <v/>
      </c>
      <c r="G25" s="53"/>
      <c r="H25" s="362" t="str">
        <f>IF(F25="","",VLOOKUP(F25,'G-1 All Habitats'!$B$2:$M$134,10,FALSE))</f>
        <v/>
      </c>
      <c r="I25" s="363" t="str">
        <f>IFERROR(VLOOKUP(H25,'G-1 All Habitats'!$V$3:$W$7,2,FALSE),"")</f>
        <v/>
      </c>
      <c r="J25" s="54"/>
      <c r="K25" s="363" t="str">
        <f>IFERROR(INDEX('G-8 Condition Look up'!$A$3:$H$135,MATCH(F25,'G-8 Condition Look up'!$A$3:$A$135,0),MATCH(J25,'G-8 Condition Look up'!$A$3:$H$3,0)),"")</f>
        <v/>
      </c>
      <c r="L25" s="54"/>
      <c r="M25" s="370" t="str">
        <f>IF(L25="","",IF(VLOOKUP(L25,'G-3 Multipliers'!$L$3:$N$6,2,FALSE)=0,"Spatial Data Missing",VLOOKUP(L25,'G-3 Multipliers'!$L$3:$N$6,2,FALSE)))</f>
        <v/>
      </c>
      <c r="N25" s="368" t="str">
        <f>IF(L25="","",IF(VLOOKUP(L25,'G-3 Multipliers'!$L$3:$N$6,3,FALSE)=0,"Spatial Data Missing",VLOOKUP(L25,'G-3 Multipliers'!$L$3:$N$6,3,FALSE)))</f>
        <v/>
      </c>
      <c r="O25" s="362" t="str">
        <f t="shared" si="1"/>
        <v/>
      </c>
      <c r="P25" s="63"/>
      <c r="Q25" s="63"/>
      <c r="R25" s="370" t="str">
        <f t="shared" si="2"/>
        <v/>
      </c>
      <c r="S25" s="383" t="str">
        <f t="shared" si="3"/>
        <v/>
      </c>
      <c r="T25" s="384"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losses",P25&gt;=O25),"Low",VLOOKUP(F25,'G-3 Multipliers'!$A$2:$E$134,4,FALSE))))</f>
        <v/>
      </c>
      <c r="X25" s="386" t="str">
        <f>IFERROR(IF(E25="","",VLOOKUP(W25, 'G-3 Multipliers'!$P$2:$Q$6,2,FALSE)),"")</f>
        <v/>
      </c>
      <c r="Y25" s="390" t="str">
        <f t="shared" si="4"/>
        <v/>
      </c>
      <c r="Z25" s="194"/>
      <c r="AA25" s="195"/>
      <c r="AB25" s="120"/>
      <c r="AE25" s="40" t="str">
        <f t="shared" si="0"/>
        <v/>
      </c>
    </row>
    <row r="26" spans="1:31" x14ac:dyDescent="0.25">
      <c r="A26" s="35" t="str">
        <f>IFERROR(INDEX('G-8 Condition Look up'!$I$4:$I$135,MATCH(F26,'G-8 Condition Look up'!$A$4:$A$135,0)),"")</f>
        <v/>
      </c>
      <c r="C26" s="299" t="str">
        <f>IFERROR(INDEX('G-1 All Habitats'!$AG$3:$AG$17,MATCH(D26,'G-1 All Habitats'!$AF$3:$AF$17,0)),"")</f>
        <v/>
      </c>
      <c r="D26" s="54"/>
      <c r="E26" s="61"/>
      <c r="F26" s="296" t="str">
        <f>IFERROR(INDEX('G-1 All Habitats'!$B$3:$B$134,MATCH(E26,'G-1 All Habitats'!$A$3:$A$134,0)),"")</f>
        <v/>
      </c>
      <c r="G26" s="53"/>
      <c r="H26" s="362" t="str">
        <f>IF(F26="","",VLOOKUP(F26,'G-1 All Habitats'!$B$2:$M$134,10,FALSE))</f>
        <v/>
      </c>
      <c r="I26" s="363" t="str">
        <f>IFERROR(VLOOKUP(H26,'G-1 All Habitats'!$V$3:$W$7,2,FALSE),"")</f>
        <v/>
      </c>
      <c r="J26" s="54"/>
      <c r="K26" s="363" t="str">
        <f>IFERROR(INDEX('G-8 Condition Look up'!$A$3:$H$135,MATCH(F26,'G-8 Condition Look up'!$A$3:$A$135,0),MATCH(J26,'G-8 Condition Look up'!$A$3:$H$3,0)),"")</f>
        <v/>
      </c>
      <c r="L26" s="54"/>
      <c r="M26" s="370" t="str">
        <f>IF(L26="","",IF(VLOOKUP(L26,'G-3 Multipliers'!$L$3:$N$6,2,FALSE)=0,"Spatial Data Missing",VLOOKUP(L26,'G-3 Multipliers'!$L$3:$N$6,2,FALSE)))</f>
        <v/>
      </c>
      <c r="N26" s="368" t="str">
        <f>IF(L26="","",IF(VLOOKUP(L26,'G-3 Multipliers'!$L$3:$N$6,3,FALSE)=0,"Spatial Data Missing",VLOOKUP(L26,'G-3 Multipliers'!$L$3:$N$6,3,FALSE)))</f>
        <v/>
      </c>
      <c r="O26" s="362" t="str">
        <f t="shared" si="1"/>
        <v/>
      </c>
      <c r="P26" s="63"/>
      <c r="Q26" s="63"/>
      <c r="R26" s="370" t="str">
        <f t="shared" si="2"/>
        <v/>
      </c>
      <c r="S26" s="383" t="str">
        <f t="shared" si="3"/>
        <v/>
      </c>
      <c r="T26" s="384"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losses",P26&gt;=O26),"Low",VLOOKUP(F26,'G-3 Multipliers'!$A$2:$E$134,4,FALSE))))</f>
        <v/>
      </c>
      <c r="X26" s="386" t="str">
        <f>IFERROR(IF(E26="","",VLOOKUP(W26, 'G-3 Multipliers'!$P$2:$Q$6,2,FALSE)),"")</f>
        <v/>
      </c>
      <c r="Y26" s="390" t="str">
        <f t="shared" si="4"/>
        <v/>
      </c>
      <c r="Z26" s="194"/>
      <c r="AA26" s="195"/>
      <c r="AB26" s="120"/>
      <c r="AE26" s="40" t="str">
        <f t="shared" si="0"/>
        <v/>
      </c>
    </row>
    <row r="27" spans="1:31" x14ac:dyDescent="0.25">
      <c r="A27" s="35" t="str">
        <f>IFERROR(INDEX('G-8 Condition Look up'!$I$4:$I$135,MATCH(F27,'G-8 Condition Look up'!$A$4:$A$135,0)),"")</f>
        <v/>
      </c>
      <c r="C27" s="299" t="str">
        <f>IFERROR(INDEX('G-1 All Habitats'!$AG$3:$AG$17,MATCH(D27,'G-1 All Habitats'!$AF$3:$AF$17,0)),"")</f>
        <v/>
      </c>
      <c r="D27" s="54"/>
      <c r="E27" s="61"/>
      <c r="F27" s="296" t="str">
        <f>IFERROR(INDEX('G-1 All Habitats'!$B$3:$B$134,MATCH(E27,'G-1 All Habitats'!$A$3:$A$134,0)),"")</f>
        <v/>
      </c>
      <c r="G27" s="53"/>
      <c r="H27" s="362" t="str">
        <f>IF(F27="","",VLOOKUP(F27,'G-1 All Habitats'!$B$2:$M$134,10,FALSE))</f>
        <v/>
      </c>
      <c r="I27" s="363" t="str">
        <f>IFERROR(VLOOKUP(H27,'G-1 All Habitats'!$V$3:$W$7,2,FALSE),"")</f>
        <v/>
      </c>
      <c r="J27" s="54"/>
      <c r="K27" s="363" t="str">
        <f>IFERROR(INDEX('G-8 Condition Look up'!$A$3:$H$135,MATCH(F27,'G-8 Condition Look up'!$A$3:$A$135,0),MATCH(J27,'G-8 Condition Look up'!$A$3:$H$3,0)),"")</f>
        <v/>
      </c>
      <c r="L27" s="54"/>
      <c r="M27" s="370" t="str">
        <f>IF(L27="","",IF(VLOOKUP(L27,'G-3 Multipliers'!$L$3:$N$6,2,FALSE)=0,"Spatial Data Missing",VLOOKUP(L27,'G-3 Multipliers'!$L$3:$N$6,2,FALSE)))</f>
        <v/>
      </c>
      <c r="N27" s="368" t="str">
        <f>IF(L27="","",IF(VLOOKUP(L27,'G-3 Multipliers'!$L$3:$N$6,3,FALSE)=0,"Spatial Data Missing",VLOOKUP(L27,'G-3 Multipliers'!$L$3:$N$6,3,FALSE)))</f>
        <v/>
      </c>
      <c r="O27" s="362" t="str">
        <f t="shared" si="1"/>
        <v/>
      </c>
      <c r="P27" s="63"/>
      <c r="Q27" s="63"/>
      <c r="R27" s="370" t="str">
        <f t="shared" si="2"/>
        <v/>
      </c>
      <c r="S27" s="383" t="str">
        <f t="shared" si="3"/>
        <v/>
      </c>
      <c r="T27" s="384"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losses",P27&gt;=O27),"Low",VLOOKUP(F27,'G-3 Multipliers'!$A$2:$E$134,4,FALSE))))</f>
        <v/>
      </c>
      <c r="X27" s="386" t="str">
        <f>IFERROR(IF(E27="","",VLOOKUP(W27, 'G-3 Multipliers'!$P$2:$Q$6,2,FALSE)),"")</f>
        <v/>
      </c>
      <c r="Y27" s="390" t="str">
        <f t="shared" si="4"/>
        <v/>
      </c>
      <c r="Z27" s="194"/>
      <c r="AA27" s="195"/>
      <c r="AB27" s="120"/>
      <c r="AE27" s="40" t="str">
        <f t="shared" si="0"/>
        <v/>
      </c>
    </row>
    <row r="28" spans="1:31" x14ac:dyDescent="0.25">
      <c r="A28" s="35" t="str">
        <f>IFERROR(INDEX('G-8 Condition Look up'!$I$4:$I$135,MATCH(F28,'G-8 Condition Look up'!$A$4:$A$135,0)),"")</f>
        <v/>
      </c>
      <c r="C28" s="299" t="str">
        <f>IFERROR(INDEX('G-1 All Habitats'!$AG$3:$AG$17,MATCH(D28,'G-1 All Habitats'!$AF$3:$AF$17,0)),"")</f>
        <v/>
      </c>
      <c r="D28" s="54"/>
      <c r="E28" s="61"/>
      <c r="F28" s="296" t="str">
        <f>IFERROR(INDEX('G-1 All Habitats'!$B$3:$B$134,MATCH(E28,'G-1 All Habitats'!$A$3:$A$134,0)),"")</f>
        <v/>
      </c>
      <c r="G28" s="53"/>
      <c r="H28" s="362" t="str">
        <f>IF(F28="","",VLOOKUP(F28,'G-1 All Habitats'!$B$2:$M$134,10,FALSE))</f>
        <v/>
      </c>
      <c r="I28" s="363" t="str">
        <f>IFERROR(VLOOKUP(H28,'G-1 All Habitats'!$V$3:$W$7,2,FALSE),"")</f>
        <v/>
      </c>
      <c r="J28" s="54"/>
      <c r="K28" s="363" t="str">
        <f>IFERROR(INDEX('G-8 Condition Look up'!$A$3:$H$135,MATCH(F28,'G-8 Condition Look up'!$A$3:$A$135,0),MATCH(J28,'G-8 Condition Look up'!$A$3:$H$3,0)),"")</f>
        <v/>
      </c>
      <c r="L28" s="54"/>
      <c r="M28" s="370" t="str">
        <f>IF(L28="","",IF(VLOOKUP(L28,'G-3 Multipliers'!$L$3:$N$6,2,FALSE)=0,"Spatial Data Missing",VLOOKUP(L28,'G-3 Multipliers'!$L$3:$N$6,2,FALSE)))</f>
        <v/>
      </c>
      <c r="N28" s="368" t="str">
        <f>IF(L28="","",IF(VLOOKUP(L28,'G-3 Multipliers'!$L$3:$N$6,3,FALSE)=0,"Spatial Data Missing",VLOOKUP(L28,'G-3 Multipliers'!$L$3:$N$6,3,FALSE)))</f>
        <v/>
      </c>
      <c r="O28" s="362" t="str">
        <f t="shared" si="1"/>
        <v/>
      </c>
      <c r="P28" s="63"/>
      <c r="Q28" s="63"/>
      <c r="R28" s="370" t="str">
        <f t="shared" si="2"/>
        <v/>
      </c>
      <c r="S28" s="383" t="str">
        <f t="shared" si="3"/>
        <v/>
      </c>
      <c r="T28" s="384"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losses",P28&gt;=O28),"Low",VLOOKUP(F28,'G-3 Multipliers'!$A$2:$E$134,4,FALSE))))</f>
        <v/>
      </c>
      <c r="X28" s="386" t="str">
        <f>IFERROR(IF(E28="","",VLOOKUP(W28, 'G-3 Multipliers'!$P$2:$Q$6,2,FALSE)),"")</f>
        <v/>
      </c>
      <c r="Y28" s="390" t="str">
        <f t="shared" si="4"/>
        <v/>
      </c>
      <c r="Z28" s="194"/>
      <c r="AA28" s="195"/>
      <c r="AB28" s="120"/>
      <c r="AE28" s="40" t="str">
        <f t="shared" si="0"/>
        <v/>
      </c>
    </row>
    <row r="29" spans="1:31" x14ac:dyDescent="0.25">
      <c r="A29" s="35" t="str">
        <f>IFERROR(INDEX('G-8 Condition Look up'!$I$4:$I$135,MATCH(F29,'G-8 Condition Look up'!$A$4:$A$135,0)),"")</f>
        <v/>
      </c>
      <c r="C29" s="299" t="str">
        <f>IFERROR(INDEX('G-1 All Habitats'!$AG$3:$AG$17,MATCH(D29,'G-1 All Habitats'!$AF$3:$AF$17,0)),"")</f>
        <v/>
      </c>
      <c r="D29" s="54"/>
      <c r="E29" s="61"/>
      <c r="F29" s="296" t="str">
        <f>IFERROR(INDEX('G-1 All Habitats'!$B$3:$B$134,MATCH(E29,'G-1 All Habitats'!$A$3:$A$134,0)),"")</f>
        <v/>
      </c>
      <c r="G29" s="53"/>
      <c r="H29" s="362" t="str">
        <f>IF(F29="","",VLOOKUP(F29,'G-1 All Habitats'!$B$2:$M$134,10,FALSE))</f>
        <v/>
      </c>
      <c r="I29" s="363" t="str">
        <f>IFERROR(VLOOKUP(H29,'G-1 All Habitats'!$V$3:$W$7,2,FALSE),"")</f>
        <v/>
      </c>
      <c r="J29" s="54"/>
      <c r="K29" s="363" t="str">
        <f>IFERROR(INDEX('G-8 Condition Look up'!$A$3:$H$135,MATCH(F29,'G-8 Condition Look up'!$A$3:$A$135,0),MATCH(J29,'G-8 Condition Look up'!$A$3:$H$3,0)),"")</f>
        <v/>
      </c>
      <c r="L29" s="54"/>
      <c r="M29" s="370" t="str">
        <f>IF(L29="","",IF(VLOOKUP(L29,'G-3 Multipliers'!$L$3:$N$6,2,FALSE)=0,"Spatial Data Missing",VLOOKUP(L29,'G-3 Multipliers'!$L$3:$N$6,2,FALSE)))</f>
        <v/>
      </c>
      <c r="N29" s="368" t="str">
        <f>IF(L29="","",IF(VLOOKUP(L29,'G-3 Multipliers'!$L$3:$N$6,3,FALSE)=0,"Spatial Data Missing",VLOOKUP(L29,'G-3 Multipliers'!$L$3:$N$6,3,FALSE)))</f>
        <v/>
      </c>
      <c r="O29" s="362" t="str">
        <f t="shared" si="1"/>
        <v/>
      </c>
      <c r="P29" s="63"/>
      <c r="Q29" s="63"/>
      <c r="R29" s="370" t="str">
        <f t="shared" si="2"/>
        <v/>
      </c>
      <c r="S29" s="383" t="str">
        <f t="shared" si="3"/>
        <v/>
      </c>
      <c r="T29" s="384"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losses",P29&gt;=O29),"Low",VLOOKUP(F29,'G-3 Multipliers'!$A$2:$E$134,4,FALSE))))</f>
        <v/>
      </c>
      <c r="X29" s="386" t="str">
        <f>IFERROR(IF(E29="","",VLOOKUP(W29, 'G-3 Multipliers'!$P$2:$Q$6,2,FALSE)),"")</f>
        <v/>
      </c>
      <c r="Y29" s="390" t="str">
        <f t="shared" si="4"/>
        <v/>
      </c>
      <c r="Z29" s="194"/>
      <c r="AA29" s="195"/>
      <c r="AB29" s="120"/>
      <c r="AE29" s="40" t="str">
        <f t="shared" si="0"/>
        <v/>
      </c>
    </row>
    <row r="30" spans="1:31" x14ac:dyDescent="0.25">
      <c r="A30" s="35" t="str">
        <f>IFERROR(INDEX('G-8 Condition Look up'!$I$4:$I$135,MATCH(F30,'G-8 Condition Look up'!$A$4:$A$135,0)),"")</f>
        <v/>
      </c>
      <c r="C30" s="299" t="str">
        <f>IFERROR(INDEX('G-1 All Habitats'!$AG$3:$AG$17,MATCH(D30,'G-1 All Habitats'!$AF$3:$AF$17,0)),"")</f>
        <v/>
      </c>
      <c r="D30" s="54"/>
      <c r="E30" s="61"/>
      <c r="F30" s="296" t="str">
        <f>IFERROR(INDEX('G-1 All Habitats'!$B$3:$B$134,MATCH(E30,'G-1 All Habitats'!$A$3:$A$134,0)),"")</f>
        <v/>
      </c>
      <c r="G30" s="53"/>
      <c r="H30" s="362" t="str">
        <f>IF(F30="","",VLOOKUP(F30,'G-1 All Habitats'!$B$2:$M$134,10,FALSE))</f>
        <v/>
      </c>
      <c r="I30" s="363" t="str">
        <f>IFERROR(VLOOKUP(H30,'G-1 All Habitats'!$V$3:$W$7,2,FALSE),"")</f>
        <v/>
      </c>
      <c r="J30" s="54"/>
      <c r="K30" s="363" t="str">
        <f>IFERROR(INDEX('G-8 Condition Look up'!$A$3:$H$135,MATCH(F30,'G-8 Condition Look up'!$A$3:$A$135,0),MATCH(J30,'G-8 Condition Look up'!$A$3:$H$3,0)),"")</f>
        <v/>
      </c>
      <c r="L30" s="54"/>
      <c r="M30" s="370" t="str">
        <f>IF(L30="","",IF(VLOOKUP(L30,'G-3 Multipliers'!$L$3:$N$6,2,FALSE)=0,"Spatial Data Missing",VLOOKUP(L30,'G-3 Multipliers'!$L$3:$N$6,2,FALSE)))</f>
        <v/>
      </c>
      <c r="N30" s="368" t="str">
        <f>IF(L30="","",IF(VLOOKUP(L30,'G-3 Multipliers'!$L$3:$N$6,3,FALSE)=0,"Spatial Data Missing",VLOOKUP(L30,'G-3 Multipliers'!$L$3:$N$6,3,FALSE)))</f>
        <v/>
      </c>
      <c r="O30" s="362" t="str">
        <f t="shared" si="1"/>
        <v/>
      </c>
      <c r="P30" s="63"/>
      <c r="Q30" s="63"/>
      <c r="R30" s="370" t="str">
        <f t="shared" si="2"/>
        <v/>
      </c>
      <c r="S30" s="383" t="str">
        <f t="shared" si="3"/>
        <v/>
      </c>
      <c r="T30" s="384"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losses",P30&gt;=O30),"Low",VLOOKUP(F30,'G-3 Multipliers'!$A$2:$E$134,4,FALSE))))</f>
        <v/>
      </c>
      <c r="X30" s="386" t="str">
        <f>IFERROR(IF(E30="","",VLOOKUP(W30, 'G-3 Multipliers'!$P$2:$Q$6,2,FALSE)),"")</f>
        <v/>
      </c>
      <c r="Y30" s="390" t="str">
        <f t="shared" si="4"/>
        <v/>
      </c>
      <c r="Z30" s="194"/>
      <c r="AA30" s="195"/>
      <c r="AB30" s="120"/>
      <c r="AE30" s="40" t="str">
        <f t="shared" si="0"/>
        <v/>
      </c>
    </row>
    <row r="31" spans="1:31" x14ac:dyDescent="0.25">
      <c r="A31" s="35" t="str">
        <f>IFERROR(INDEX('G-8 Condition Look up'!$I$4:$I$135,MATCH(F31,'G-8 Condition Look up'!$A$4:$A$135,0)),"")</f>
        <v/>
      </c>
      <c r="C31" s="299" t="str">
        <f>IFERROR(INDEX('G-1 All Habitats'!$AG$3:$AG$17,MATCH(D31,'G-1 All Habitats'!$AF$3:$AF$17,0)),"")</f>
        <v/>
      </c>
      <c r="D31" s="54"/>
      <c r="E31" s="61"/>
      <c r="F31" s="296" t="str">
        <f>IFERROR(INDEX('G-1 All Habitats'!$B$3:$B$134,MATCH(E31,'G-1 All Habitats'!$A$3:$A$134,0)),"")</f>
        <v/>
      </c>
      <c r="G31" s="53"/>
      <c r="H31" s="362" t="str">
        <f>IF(F31="","",VLOOKUP(F31,'G-1 All Habitats'!$B$2:$M$134,10,FALSE))</f>
        <v/>
      </c>
      <c r="I31" s="363" t="str">
        <f>IFERROR(VLOOKUP(H31,'G-1 All Habitats'!$V$3:$W$7,2,FALSE),"")</f>
        <v/>
      </c>
      <c r="J31" s="54"/>
      <c r="K31" s="363" t="str">
        <f>IFERROR(INDEX('G-8 Condition Look up'!$A$3:$H$135,MATCH(F31,'G-8 Condition Look up'!$A$3:$A$135,0),MATCH(J31,'G-8 Condition Look up'!$A$3:$H$3,0)),"")</f>
        <v/>
      </c>
      <c r="L31" s="54"/>
      <c r="M31" s="370" t="str">
        <f>IF(L31="","",IF(VLOOKUP(L31,'G-3 Multipliers'!$L$3:$N$6,2,FALSE)=0,"Spatial Data Missing",VLOOKUP(L31,'G-3 Multipliers'!$L$3:$N$6,2,FALSE)))</f>
        <v/>
      </c>
      <c r="N31" s="368" t="str">
        <f>IF(L31="","",IF(VLOOKUP(L31,'G-3 Multipliers'!$L$3:$N$6,3,FALSE)=0,"Spatial Data Missing",VLOOKUP(L31,'G-3 Multipliers'!$L$3:$N$6,3,FALSE)))</f>
        <v/>
      </c>
      <c r="O31" s="362" t="str">
        <f t="shared" si="1"/>
        <v/>
      </c>
      <c r="P31" s="63"/>
      <c r="Q31" s="63"/>
      <c r="R31" s="370" t="str">
        <f t="shared" si="2"/>
        <v/>
      </c>
      <c r="S31" s="383" t="str">
        <f t="shared" si="3"/>
        <v/>
      </c>
      <c r="T31" s="384"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losses",P31&gt;=O31),"Low",VLOOKUP(F31,'G-3 Multipliers'!$A$2:$E$134,4,FALSE))))</f>
        <v/>
      </c>
      <c r="X31" s="386" t="str">
        <f>IFERROR(IF(E31="","",VLOOKUP(W31, 'G-3 Multipliers'!$P$2:$Q$6,2,FALSE)),"")</f>
        <v/>
      </c>
      <c r="Y31" s="390" t="str">
        <f t="shared" si="4"/>
        <v/>
      </c>
      <c r="Z31" s="194"/>
      <c r="AA31" s="195"/>
      <c r="AB31" s="120"/>
      <c r="AE31" s="40" t="str">
        <f t="shared" si="0"/>
        <v/>
      </c>
    </row>
    <row r="32" spans="1:31" x14ac:dyDescent="0.25">
      <c r="A32" s="35" t="str">
        <f>IFERROR(INDEX('G-8 Condition Look up'!$I$4:$I$135,MATCH(F32,'G-8 Condition Look up'!$A$4:$A$135,0)),"")</f>
        <v/>
      </c>
      <c r="C32" s="299" t="str">
        <f>IFERROR(INDEX('G-1 All Habitats'!$AG$3:$AG$17,MATCH(D32,'G-1 All Habitats'!$AF$3:$AF$17,0)),"")</f>
        <v/>
      </c>
      <c r="D32" s="54"/>
      <c r="E32" s="61"/>
      <c r="F32" s="296" t="str">
        <f>IFERROR(INDEX('G-1 All Habitats'!$B$3:$B$134,MATCH(E32,'G-1 All Habitats'!$A$3:$A$134,0)),"")</f>
        <v/>
      </c>
      <c r="G32" s="53"/>
      <c r="H32" s="362" t="str">
        <f>IF(F32="","",VLOOKUP(F32,'G-1 All Habitats'!$B$2:$M$134,10,FALSE))</f>
        <v/>
      </c>
      <c r="I32" s="363" t="str">
        <f>IFERROR(VLOOKUP(H32,'G-1 All Habitats'!$V$3:$W$7,2,FALSE),"")</f>
        <v/>
      </c>
      <c r="J32" s="54"/>
      <c r="K32" s="363" t="str">
        <f>IFERROR(INDEX('G-8 Condition Look up'!$A$3:$H$135,MATCH(F32,'G-8 Condition Look up'!$A$3:$A$135,0),MATCH(J32,'G-8 Condition Look up'!$A$3:$H$3,0)),"")</f>
        <v/>
      </c>
      <c r="L32" s="54"/>
      <c r="M32" s="370" t="str">
        <f>IF(L32="","",IF(VLOOKUP(L32,'G-3 Multipliers'!$L$3:$N$6,2,FALSE)=0,"Spatial Data Missing",VLOOKUP(L32,'G-3 Multipliers'!$L$3:$N$6,2,FALSE)))</f>
        <v/>
      </c>
      <c r="N32" s="368" t="str">
        <f>IF(L32="","",IF(VLOOKUP(L32,'G-3 Multipliers'!$L$3:$N$6,3,FALSE)=0,"Spatial Data Missing",VLOOKUP(L32,'G-3 Multipliers'!$L$3:$N$6,3,FALSE)))</f>
        <v/>
      </c>
      <c r="O32" s="362" t="str">
        <f t="shared" si="1"/>
        <v/>
      </c>
      <c r="P32" s="63"/>
      <c r="Q32" s="63"/>
      <c r="R32" s="370" t="str">
        <f t="shared" si="2"/>
        <v/>
      </c>
      <c r="S32" s="383" t="str">
        <f t="shared" si="3"/>
        <v/>
      </c>
      <c r="T32" s="384"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losses",P32&gt;=O32),"Low",VLOOKUP(F32,'G-3 Multipliers'!$A$2:$E$134,4,FALSE))))</f>
        <v/>
      </c>
      <c r="X32" s="386" t="str">
        <f>IFERROR(IF(E32="","",VLOOKUP(W32, 'G-3 Multipliers'!$P$2:$Q$6,2,FALSE)),"")</f>
        <v/>
      </c>
      <c r="Y32" s="390" t="str">
        <f t="shared" si="4"/>
        <v/>
      </c>
      <c r="Z32" s="194"/>
      <c r="AA32" s="195"/>
      <c r="AB32" s="120"/>
      <c r="AE32" s="40" t="str">
        <f t="shared" si="0"/>
        <v/>
      </c>
    </row>
    <row r="33" spans="1:31" x14ac:dyDescent="0.25">
      <c r="A33" s="35" t="str">
        <f>IFERROR(INDEX('G-8 Condition Look up'!$I$4:$I$135,MATCH(F33,'G-8 Condition Look up'!$A$4:$A$135,0)),"")</f>
        <v/>
      </c>
      <c r="C33" s="299" t="str">
        <f>IFERROR(INDEX('G-1 All Habitats'!$AG$3:$AG$17,MATCH(D33,'G-1 All Habitats'!$AF$3:$AF$17,0)),"")</f>
        <v/>
      </c>
      <c r="D33" s="54"/>
      <c r="E33" s="61"/>
      <c r="F33" s="296" t="str">
        <f>IFERROR(INDEX('G-1 All Habitats'!$B$3:$B$134,MATCH(E33,'G-1 All Habitats'!$A$3:$A$134,0)),"")</f>
        <v/>
      </c>
      <c r="G33" s="53"/>
      <c r="H33" s="362" t="str">
        <f>IF(F33="","",VLOOKUP(F33,'G-1 All Habitats'!$B$2:$M$134,10,FALSE))</f>
        <v/>
      </c>
      <c r="I33" s="363" t="str">
        <f>IFERROR(VLOOKUP(H33,'G-1 All Habitats'!$V$3:$W$7,2,FALSE),"")</f>
        <v/>
      </c>
      <c r="J33" s="54"/>
      <c r="K33" s="363" t="str">
        <f>IFERROR(INDEX('G-8 Condition Look up'!$A$3:$H$135,MATCH(F33,'G-8 Condition Look up'!$A$3:$A$135,0),MATCH(J33,'G-8 Condition Look up'!$A$3:$H$3,0)),"")</f>
        <v/>
      </c>
      <c r="L33" s="54"/>
      <c r="M33" s="370" t="str">
        <f>IF(L33="","",IF(VLOOKUP(L33,'G-3 Multipliers'!$L$3:$N$6,2,FALSE)=0,"Spatial Data Missing",VLOOKUP(L33,'G-3 Multipliers'!$L$3:$N$6,2,FALSE)))</f>
        <v/>
      </c>
      <c r="N33" s="368" t="str">
        <f>IF(L33="","",IF(VLOOKUP(L33,'G-3 Multipliers'!$L$3:$N$6,3,FALSE)=0,"Spatial Data Missing",VLOOKUP(L33,'G-3 Multipliers'!$L$3:$N$6,3,FALSE)))</f>
        <v/>
      </c>
      <c r="O33" s="362" t="str">
        <f t="shared" si="1"/>
        <v/>
      </c>
      <c r="P33" s="63"/>
      <c r="Q33" s="63"/>
      <c r="R33" s="370" t="str">
        <f t="shared" si="2"/>
        <v/>
      </c>
      <c r="S33" s="383" t="str">
        <f t="shared" si="3"/>
        <v/>
      </c>
      <c r="T33" s="384"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losses",P33&gt;=O33),"Low",VLOOKUP(F33,'G-3 Multipliers'!$A$2:$E$134,4,FALSE))))</f>
        <v/>
      </c>
      <c r="X33" s="386" t="str">
        <f>IFERROR(IF(E33="","",VLOOKUP(W33, 'G-3 Multipliers'!$P$2:$Q$6,2,FALSE)),"")</f>
        <v/>
      </c>
      <c r="Y33" s="390" t="str">
        <f t="shared" si="4"/>
        <v/>
      </c>
      <c r="Z33" s="194"/>
      <c r="AA33" s="195"/>
      <c r="AB33" s="120"/>
      <c r="AE33" s="40" t="str">
        <f t="shared" si="0"/>
        <v/>
      </c>
    </row>
    <row r="34" spans="1:31" x14ac:dyDescent="0.25">
      <c r="A34" s="35" t="str">
        <f>IFERROR(INDEX('G-8 Condition Look up'!$I$4:$I$135,MATCH(F34,'G-8 Condition Look up'!$A$4:$A$135,0)),"")</f>
        <v/>
      </c>
      <c r="C34" s="299" t="str">
        <f>IFERROR(INDEX('G-1 All Habitats'!$AG$3:$AG$17,MATCH(D34,'G-1 All Habitats'!$AF$3:$AF$17,0)),"")</f>
        <v/>
      </c>
      <c r="D34" s="54"/>
      <c r="E34" s="61"/>
      <c r="F34" s="296" t="str">
        <f>IFERROR(INDEX('G-1 All Habitats'!$B$3:$B$134,MATCH(E34,'G-1 All Habitats'!$A$3:$A$134,0)),"")</f>
        <v/>
      </c>
      <c r="G34" s="53"/>
      <c r="H34" s="362" t="str">
        <f>IF(F34="","",VLOOKUP(F34,'G-1 All Habitats'!$B$2:$M$134,10,FALSE))</f>
        <v/>
      </c>
      <c r="I34" s="363" t="str">
        <f>IFERROR(VLOOKUP(H34,'G-1 All Habitats'!$V$3:$W$7,2,FALSE),"")</f>
        <v/>
      </c>
      <c r="J34" s="54"/>
      <c r="K34" s="363" t="str">
        <f>IFERROR(INDEX('G-8 Condition Look up'!$A$3:$H$135,MATCH(F34,'G-8 Condition Look up'!$A$3:$A$135,0),MATCH(J34,'G-8 Condition Look up'!$A$3:$H$3,0)),"")</f>
        <v/>
      </c>
      <c r="L34" s="54"/>
      <c r="M34" s="370" t="str">
        <f>IF(L34="","",IF(VLOOKUP(L34,'G-3 Multipliers'!$L$3:$N$6,2,FALSE)=0,"Spatial Data Missing",VLOOKUP(L34,'G-3 Multipliers'!$L$3:$N$6,2,FALSE)))</f>
        <v/>
      </c>
      <c r="N34" s="368" t="str">
        <f>IF(L34="","",IF(VLOOKUP(L34,'G-3 Multipliers'!$L$3:$N$6,3,FALSE)=0,"Spatial Data Missing",VLOOKUP(L34,'G-3 Multipliers'!$L$3:$N$6,3,FALSE)))</f>
        <v/>
      </c>
      <c r="O34" s="362" t="str">
        <f t="shared" si="1"/>
        <v/>
      </c>
      <c r="P34" s="63"/>
      <c r="Q34" s="63"/>
      <c r="R34" s="370" t="str">
        <f t="shared" si="2"/>
        <v/>
      </c>
      <c r="S34" s="383" t="str">
        <f t="shared" si="3"/>
        <v/>
      </c>
      <c r="T34" s="384"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losses",P34&gt;=O34),"Low",VLOOKUP(F34,'G-3 Multipliers'!$A$2:$E$134,4,FALSE))))</f>
        <v/>
      </c>
      <c r="X34" s="386" t="str">
        <f>IFERROR(IF(E34="","",VLOOKUP(W34, 'G-3 Multipliers'!$P$2:$Q$6,2,FALSE)),"")</f>
        <v/>
      </c>
      <c r="Y34" s="390" t="str">
        <f t="shared" si="4"/>
        <v/>
      </c>
      <c r="Z34" s="194"/>
      <c r="AA34" s="195"/>
      <c r="AB34" s="120"/>
      <c r="AE34" s="40" t="str">
        <f t="shared" si="0"/>
        <v/>
      </c>
    </row>
    <row r="35" spans="1:31" x14ac:dyDescent="0.25">
      <c r="A35" s="35" t="str">
        <f>IFERROR(INDEX('G-8 Condition Look up'!$I$4:$I$135,MATCH(F35,'G-8 Condition Look up'!$A$4:$A$135,0)),"")</f>
        <v/>
      </c>
      <c r="C35" s="299" t="str">
        <f>IFERROR(INDEX('G-1 All Habitats'!$AG$3:$AG$17,MATCH(D35,'G-1 All Habitats'!$AF$3:$AF$17,0)),"")</f>
        <v/>
      </c>
      <c r="D35" s="54"/>
      <c r="E35" s="61"/>
      <c r="F35" s="296" t="str">
        <f>IFERROR(INDEX('G-1 All Habitats'!$B$3:$B$134,MATCH(E35,'G-1 All Habitats'!$A$3:$A$134,0)),"")</f>
        <v/>
      </c>
      <c r="G35" s="53"/>
      <c r="H35" s="362" t="str">
        <f>IF(F35="","",VLOOKUP(F35,'G-1 All Habitats'!$B$2:$M$134,10,FALSE))</f>
        <v/>
      </c>
      <c r="I35" s="363" t="str">
        <f>IFERROR(VLOOKUP(H35,'G-1 All Habitats'!$V$3:$W$7,2,FALSE),"")</f>
        <v/>
      </c>
      <c r="J35" s="54"/>
      <c r="K35" s="363" t="str">
        <f>IFERROR(INDEX('G-8 Condition Look up'!$A$3:$H$135,MATCH(F35,'G-8 Condition Look up'!$A$3:$A$135,0),MATCH(J35,'G-8 Condition Look up'!$A$3:$H$3,0)),"")</f>
        <v/>
      </c>
      <c r="L35" s="54"/>
      <c r="M35" s="370" t="str">
        <f>IF(L35="","",IF(VLOOKUP(L35,'G-3 Multipliers'!$L$3:$N$6,2,FALSE)=0,"Spatial Data Missing",VLOOKUP(L35,'G-3 Multipliers'!$L$3:$N$6,2,FALSE)))</f>
        <v/>
      </c>
      <c r="N35" s="368" t="str">
        <f>IF(L35="","",IF(VLOOKUP(L35,'G-3 Multipliers'!$L$3:$N$6,3,FALSE)=0,"Spatial Data Missing",VLOOKUP(L35,'G-3 Multipliers'!$L$3:$N$6,3,FALSE)))</f>
        <v/>
      </c>
      <c r="O35" s="362" t="str">
        <f t="shared" si="1"/>
        <v/>
      </c>
      <c r="P35" s="63"/>
      <c r="Q35" s="63"/>
      <c r="R35" s="370" t="str">
        <f t="shared" si="2"/>
        <v/>
      </c>
      <c r="S35" s="383" t="str">
        <f t="shared" si="3"/>
        <v/>
      </c>
      <c r="T35" s="384"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losses",P35&gt;=O35),"Low",VLOOKUP(F35,'G-3 Multipliers'!$A$2:$E$134,4,FALSE))))</f>
        <v/>
      </c>
      <c r="X35" s="386" t="str">
        <f>IFERROR(IF(E35="","",VLOOKUP(W35, 'G-3 Multipliers'!$P$2:$Q$6,2,FALSE)),"")</f>
        <v/>
      </c>
      <c r="Y35" s="390" t="str">
        <f t="shared" si="4"/>
        <v/>
      </c>
      <c r="Z35" s="194"/>
      <c r="AA35" s="195"/>
      <c r="AB35" s="120"/>
      <c r="AE35" s="40" t="str">
        <f t="shared" si="0"/>
        <v/>
      </c>
    </row>
    <row r="36" spans="1:31" x14ac:dyDescent="0.25">
      <c r="A36" s="35" t="str">
        <f>IFERROR(INDEX('G-8 Condition Look up'!$I$4:$I$135,MATCH(F36,'G-8 Condition Look up'!$A$4:$A$135,0)),"")</f>
        <v/>
      </c>
      <c r="C36" s="299" t="str">
        <f>IFERROR(INDEX('G-1 All Habitats'!$AG$3:$AG$17,MATCH(D36,'G-1 All Habitats'!$AF$3:$AF$17,0)),"")</f>
        <v/>
      </c>
      <c r="D36" s="54"/>
      <c r="E36" s="61"/>
      <c r="F36" s="296" t="str">
        <f>IFERROR(INDEX('G-1 All Habitats'!$B$3:$B$134,MATCH(E36,'G-1 All Habitats'!$A$3:$A$134,0)),"")</f>
        <v/>
      </c>
      <c r="G36" s="53"/>
      <c r="H36" s="362" t="str">
        <f>IF(F36="","",VLOOKUP(F36,'G-1 All Habitats'!$B$2:$M$134,10,FALSE))</f>
        <v/>
      </c>
      <c r="I36" s="363" t="str">
        <f>IFERROR(VLOOKUP(H36,'G-1 All Habitats'!$V$3:$W$7,2,FALSE),"")</f>
        <v/>
      </c>
      <c r="J36" s="54"/>
      <c r="K36" s="363" t="str">
        <f>IFERROR(INDEX('G-8 Condition Look up'!$A$3:$H$135,MATCH(F36,'G-8 Condition Look up'!$A$3:$A$135,0),MATCH(J36,'G-8 Condition Look up'!$A$3:$H$3,0)),"")</f>
        <v/>
      </c>
      <c r="L36" s="54"/>
      <c r="M36" s="370" t="str">
        <f>IF(L36="","",IF(VLOOKUP(L36,'G-3 Multipliers'!$L$3:$N$6,2,FALSE)=0,"Spatial Data Missing",VLOOKUP(L36,'G-3 Multipliers'!$L$3:$N$6,2,FALSE)))</f>
        <v/>
      </c>
      <c r="N36" s="368" t="str">
        <f>IF(L36="","",IF(VLOOKUP(L36,'G-3 Multipliers'!$L$3:$N$6,3,FALSE)=0,"Spatial Data Missing",VLOOKUP(L36,'G-3 Multipliers'!$L$3:$N$6,3,FALSE)))</f>
        <v/>
      </c>
      <c r="O36" s="362" t="str">
        <f t="shared" si="1"/>
        <v/>
      </c>
      <c r="P36" s="63"/>
      <c r="Q36" s="63"/>
      <c r="R36" s="370" t="str">
        <f t="shared" si="2"/>
        <v/>
      </c>
      <c r="S36" s="383" t="str">
        <f t="shared" si="3"/>
        <v/>
      </c>
      <c r="T36" s="384"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losses",P36&gt;=O36),"Low",VLOOKUP(F36,'G-3 Multipliers'!$A$2:$E$134,4,FALSE))))</f>
        <v/>
      </c>
      <c r="X36" s="386" t="str">
        <f>IFERROR(IF(E36="","",VLOOKUP(W36, 'G-3 Multipliers'!$P$2:$Q$6,2,FALSE)),"")</f>
        <v/>
      </c>
      <c r="Y36" s="390" t="str">
        <f t="shared" si="4"/>
        <v/>
      </c>
      <c r="Z36" s="194"/>
      <c r="AA36" s="195"/>
      <c r="AB36" s="120"/>
      <c r="AE36" s="40" t="str">
        <f t="shared" si="0"/>
        <v/>
      </c>
    </row>
    <row r="37" spans="1:31" x14ac:dyDescent="0.25">
      <c r="A37" s="35" t="str">
        <f>IFERROR(INDEX('G-8 Condition Look up'!$I$4:$I$135,MATCH(F37,'G-8 Condition Look up'!$A$4:$A$135,0)),"")</f>
        <v/>
      </c>
      <c r="C37" s="299" t="str">
        <f>IFERROR(INDEX('G-1 All Habitats'!$AG$3:$AG$17,MATCH(D37,'G-1 All Habitats'!$AF$3:$AF$17,0)),"")</f>
        <v/>
      </c>
      <c r="D37" s="54"/>
      <c r="E37" s="61"/>
      <c r="F37" s="296" t="str">
        <f>IFERROR(INDEX('G-1 All Habitats'!$B$3:$B$134,MATCH(E37,'G-1 All Habitats'!$A$3:$A$134,0)),"")</f>
        <v/>
      </c>
      <c r="G37" s="53"/>
      <c r="H37" s="362" t="str">
        <f>IF(F37="","",VLOOKUP(F37,'G-1 All Habitats'!$B$2:$M$134,10,FALSE))</f>
        <v/>
      </c>
      <c r="I37" s="363" t="str">
        <f>IFERROR(VLOOKUP(H37,'G-1 All Habitats'!$V$3:$W$7,2,FALSE),"")</f>
        <v/>
      </c>
      <c r="J37" s="54"/>
      <c r="K37" s="363" t="str">
        <f>IFERROR(INDEX('G-8 Condition Look up'!$A$3:$H$135,MATCH(F37,'G-8 Condition Look up'!$A$3:$A$135,0),MATCH(J37,'G-8 Condition Look up'!$A$3:$H$3,0)),"")</f>
        <v/>
      </c>
      <c r="L37" s="54"/>
      <c r="M37" s="370" t="str">
        <f>IF(L37="","",IF(VLOOKUP(L37,'G-3 Multipliers'!$L$3:$N$6,2,FALSE)=0,"Spatial Data Missing",VLOOKUP(L37,'G-3 Multipliers'!$L$3:$N$6,2,FALSE)))</f>
        <v/>
      </c>
      <c r="N37" s="368" t="str">
        <f>IF(L37="","",IF(VLOOKUP(L37,'G-3 Multipliers'!$L$3:$N$6,3,FALSE)=0,"Spatial Data Missing",VLOOKUP(L37,'G-3 Multipliers'!$L$3:$N$6,3,FALSE)))</f>
        <v/>
      </c>
      <c r="O37" s="362" t="str">
        <f t="shared" si="1"/>
        <v/>
      </c>
      <c r="P37" s="63"/>
      <c r="Q37" s="63"/>
      <c r="R37" s="370" t="str">
        <f t="shared" si="2"/>
        <v/>
      </c>
      <c r="S37" s="383" t="str">
        <f t="shared" si="3"/>
        <v/>
      </c>
      <c r="T37" s="384"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losses",P37&gt;=O37),"Low",VLOOKUP(F37,'G-3 Multipliers'!$A$2:$E$134,4,FALSE))))</f>
        <v/>
      </c>
      <c r="X37" s="386" t="str">
        <f>IFERROR(IF(E37="","",VLOOKUP(W37, 'G-3 Multipliers'!$P$2:$Q$6,2,FALSE)),"")</f>
        <v/>
      </c>
      <c r="Y37" s="390" t="str">
        <f t="shared" si="4"/>
        <v/>
      </c>
      <c r="Z37" s="194"/>
      <c r="AA37" s="195"/>
      <c r="AB37" s="120"/>
      <c r="AE37" s="40" t="str">
        <f t="shared" si="0"/>
        <v/>
      </c>
    </row>
    <row r="38" spans="1:31" x14ac:dyDescent="0.25">
      <c r="A38" s="35" t="str">
        <f>IFERROR(INDEX('G-8 Condition Look up'!$I$4:$I$135,MATCH(F38,'G-8 Condition Look up'!$A$4:$A$135,0)),"")</f>
        <v/>
      </c>
      <c r="C38" s="299" t="str">
        <f>IFERROR(INDEX('G-1 All Habitats'!$AG$3:$AG$17,MATCH(D38,'G-1 All Habitats'!$AF$3:$AF$17,0)),"")</f>
        <v/>
      </c>
      <c r="D38" s="54"/>
      <c r="E38" s="61"/>
      <c r="F38" s="296" t="str">
        <f>IFERROR(INDEX('G-1 All Habitats'!$B$3:$B$134,MATCH(E38,'G-1 All Habitats'!$A$3:$A$134,0)),"")</f>
        <v/>
      </c>
      <c r="G38" s="53"/>
      <c r="H38" s="362" t="str">
        <f>IF(F38="","",VLOOKUP(F38,'G-1 All Habitats'!$B$2:$M$134,10,FALSE))</f>
        <v/>
      </c>
      <c r="I38" s="363" t="str">
        <f>IFERROR(VLOOKUP(H38,'G-1 All Habitats'!$V$3:$W$7,2,FALSE),"")</f>
        <v/>
      </c>
      <c r="J38" s="54"/>
      <c r="K38" s="363" t="str">
        <f>IFERROR(INDEX('G-8 Condition Look up'!$A$3:$H$135,MATCH(F38,'G-8 Condition Look up'!$A$3:$A$135,0),MATCH(J38,'G-8 Condition Look up'!$A$3:$H$3,0)),"")</f>
        <v/>
      </c>
      <c r="L38" s="54"/>
      <c r="M38" s="370" t="str">
        <f>IF(L38="","",IF(VLOOKUP(L38,'G-3 Multipliers'!$L$3:$N$6,2,FALSE)=0,"Spatial Data Missing",VLOOKUP(L38,'G-3 Multipliers'!$L$3:$N$6,2,FALSE)))</f>
        <v/>
      </c>
      <c r="N38" s="368" t="str">
        <f>IF(L38="","",IF(VLOOKUP(L38,'G-3 Multipliers'!$L$3:$N$6,3,FALSE)=0,"Spatial Data Missing",VLOOKUP(L38,'G-3 Multipliers'!$L$3:$N$6,3,FALSE)))</f>
        <v/>
      </c>
      <c r="O38" s="362" t="str">
        <f t="shared" si="1"/>
        <v/>
      </c>
      <c r="P38" s="63"/>
      <c r="Q38" s="63"/>
      <c r="R38" s="370" t="str">
        <f t="shared" si="2"/>
        <v/>
      </c>
      <c r="S38" s="383" t="str">
        <f t="shared" si="3"/>
        <v/>
      </c>
      <c r="T38" s="384"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losses",P38&gt;=O38),"Low",VLOOKUP(F38,'G-3 Multipliers'!$A$2:$E$134,4,FALSE))))</f>
        <v/>
      </c>
      <c r="X38" s="386" t="str">
        <f>IFERROR(IF(E38="","",VLOOKUP(W38, 'G-3 Multipliers'!$P$2:$Q$6,2,FALSE)),"")</f>
        <v/>
      </c>
      <c r="Y38" s="390" t="str">
        <f t="shared" si="4"/>
        <v/>
      </c>
      <c r="Z38" s="194"/>
      <c r="AA38" s="195"/>
      <c r="AB38" s="120"/>
      <c r="AE38" s="40" t="str">
        <f t="shared" si="0"/>
        <v/>
      </c>
    </row>
    <row r="39" spans="1:31" x14ac:dyDescent="0.25">
      <c r="A39" s="35" t="str">
        <f>IFERROR(INDEX('G-8 Condition Look up'!$I$4:$I$135,MATCH(F39,'G-8 Condition Look up'!$A$4:$A$135,0)),"")</f>
        <v/>
      </c>
      <c r="C39" s="299" t="str">
        <f>IFERROR(INDEX('G-1 All Habitats'!$AG$3:$AG$17,MATCH(D39,'G-1 All Habitats'!$AF$3:$AF$17,0)),"")</f>
        <v/>
      </c>
      <c r="D39" s="54"/>
      <c r="E39" s="61"/>
      <c r="F39" s="296" t="str">
        <f>IFERROR(INDEX('G-1 All Habitats'!$B$3:$B$134,MATCH(E39,'G-1 All Habitats'!$A$3:$A$134,0)),"")</f>
        <v/>
      </c>
      <c r="G39" s="53"/>
      <c r="H39" s="362" t="str">
        <f>IF(F39="","",VLOOKUP(F39,'G-1 All Habitats'!$B$2:$M$134,10,FALSE))</f>
        <v/>
      </c>
      <c r="I39" s="363" t="str">
        <f>IFERROR(VLOOKUP(H39,'G-1 All Habitats'!$V$3:$W$7,2,FALSE),"")</f>
        <v/>
      </c>
      <c r="J39" s="54"/>
      <c r="K39" s="363" t="str">
        <f>IFERROR(INDEX('G-8 Condition Look up'!$A$3:$H$135,MATCH(F39,'G-8 Condition Look up'!$A$3:$A$135,0),MATCH(J39,'G-8 Condition Look up'!$A$3:$H$3,0)),"")</f>
        <v/>
      </c>
      <c r="L39" s="54"/>
      <c r="M39" s="370" t="str">
        <f>IF(L39="","",IF(VLOOKUP(L39,'G-3 Multipliers'!$L$3:$N$6,2,FALSE)=0,"Spatial Data Missing",VLOOKUP(L39,'G-3 Multipliers'!$L$3:$N$6,2,FALSE)))</f>
        <v/>
      </c>
      <c r="N39" s="368" t="str">
        <f>IF(L39="","",IF(VLOOKUP(L39,'G-3 Multipliers'!$L$3:$N$6,3,FALSE)=0,"Spatial Data Missing",VLOOKUP(L39,'G-3 Multipliers'!$L$3:$N$6,3,FALSE)))</f>
        <v/>
      </c>
      <c r="O39" s="362" t="str">
        <f t="shared" si="1"/>
        <v/>
      </c>
      <c r="P39" s="63"/>
      <c r="Q39" s="63"/>
      <c r="R39" s="370" t="str">
        <f t="shared" si="2"/>
        <v/>
      </c>
      <c r="S39" s="383" t="str">
        <f t="shared" si="3"/>
        <v/>
      </c>
      <c r="T39" s="384"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losses",P39&gt;=O39),"Low",VLOOKUP(F39,'G-3 Multipliers'!$A$2:$E$134,4,FALSE))))</f>
        <v/>
      </c>
      <c r="X39" s="386" t="str">
        <f>IFERROR(IF(E39="","",VLOOKUP(W39, 'G-3 Multipliers'!$P$2:$Q$6,2,FALSE)),"")</f>
        <v/>
      </c>
      <c r="Y39" s="390" t="str">
        <f t="shared" si="4"/>
        <v/>
      </c>
      <c r="Z39" s="194"/>
      <c r="AA39" s="195"/>
      <c r="AB39" s="120"/>
      <c r="AE39" s="40" t="str">
        <f t="shared" si="0"/>
        <v/>
      </c>
    </row>
    <row r="40" spans="1:31" x14ac:dyDescent="0.25">
      <c r="A40" s="35" t="str">
        <f>IFERROR(INDEX('G-8 Condition Look up'!$I$4:$I$135,MATCH(F40,'G-8 Condition Look up'!$A$4:$A$135,0)),"")</f>
        <v/>
      </c>
      <c r="C40" s="299" t="str">
        <f>IFERROR(INDEX('G-1 All Habitats'!$AG$3:$AG$17,MATCH(D40,'G-1 All Habitats'!$AF$3:$AF$17,0)),"")</f>
        <v/>
      </c>
      <c r="D40" s="54"/>
      <c r="E40" s="61"/>
      <c r="F40" s="296" t="str">
        <f>IFERROR(INDEX('G-1 All Habitats'!$B$3:$B$134,MATCH(E40,'G-1 All Habitats'!$A$3:$A$134,0)),"")</f>
        <v/>
      </c>
      <c r="G40" s="53"/>
      <c r="H40" s="362" t="str">
        <f>IF(F40="","",VLOOKUP(F40,'G-1 All Habitats'!$B$2:$M$134,10,FALSE))</f>
        <v/>
      </c>
      <c r="I40" s="363" t="str">
        <f>IFERROR(VLOOKUP(H40,'G-1 All Habitats'!$V$3:$W$7,2,FALSE),"")</f>
        <v/>
      </c>
      <c r="J40" s="54"/>
      <c r="K40" s="363" t="str">
        <f>IFERROR(INDEX('G-8 Condition Look up'!$A$3:$H$135,MATCH(F40,'G-8 Condition Look up'!$A$3:$A$135,0),MATCH(J40,'G-8 Condition Look up'!$A$3:$H$3,0)),"")</f>
        <v/>
      </c>
      <c r="L40" s="54"/>
      <c r="M40" s="370" t="str">
        <f>IF(L40="","",IF(VLOOKUP(L40,'G-3 Multipliers'!$L$3:$N$6,2,FALSE)=0,"Spatial Data Missing",VLOOKUP(L40,'G-3 Multipliers'!$L$3:$N$6,2,FALSE)))</f>
        <v/>
      </c>
      <c r="N40" s="368" t="str">
        <f>IF(L40="","",IF(VLOOKUP(L40,'G-3 Multipliers'!$L$3:$N$6,3,FALSE)=0,"Spatial Data Missing",VLOOKUP(L40,'G-3 Multipliers'!$L$3:$N$6,3,FALSE)))</f>
        <v/>
      </c>
      <c r="O40" s="362" t="str">
        <f t="shared" si="1"/>
        <v/>
      </c>
      <c r="P40" s="63"/>
      <c r="Q40" s="63"/>
      <c r="R40" s="370" t="str">
        <f t="shared" si="2"/>
        <v/>
      </c>
      <c r="S40" s="383" t="str">
        <f t="shared" si="3"/>
        <v/>
      </c>
      <c r="T40" s="384"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losses",P40&gt;=O40),"Low",VLOOKUP(F40,'G-3 Multipliers'!$A$2:$E$134,4,FALSE))))</f>
        <v/>
      </c>
      <c r="X40" s="386" t="str">
        <f>IFERROR(IF(E40="","",VLOOKUP(W40, 'G-3 Multipliers'!$P$2:$Q$6,2,FALSE)),"")</f>
        <v/>
      </c>
      <c r="Y40" s="390" t="str">
        <f t="shared" si="4"/>
        <v/>
      </c>
      <c r="Z40" s="194"/>
      <c r="AA40" s="195"/>
      <c r="AB40" s="120"/>
      <c r="AE40" s="40" t="str">
        <f t="shared" si="0"/>
        <v/>
      </c>
    </row>
    <row r="41" spans="1:31" x14ac:dyDescent="0.25">
      <c r="A41" s="35" t="str">
        <f>IFERROR(INDEX('G-8 Condition Look up'!$I$4:$I$135,MATCH(F41,'G-8 Condition Look up'!$A$4:$A$135,0)),"")</f>
        <v/>
      </c>
      <c r="C41" s="299" t="str">
        <f>IFERROR(INDEX('G-1 All Habitats'!$AG$3:$AG$17,MATCH(D41,'G-1 All Habitats'!$AF$3:$AF$17,0)),"")</f>
        <v/>
      </c>
      <c r="D41" s="54"/>
      <c r="E41" s="61"/>
      <c r="F41" s="296" t="str">
        <f>IFERROR(INDEX('G-1 All Habitats'!$B$3:$B$134,MATCH(E41,'G-1 All Habitats'!$A$3:$A$134,0)),"")</f>
        <v/>
      </c>
      <c r="G41" s="53"/>
      <c r="H41" s="362" t="str">
        <f>IF(F41="","",VLOOKUP(F41,'G-1 All Habitats'!$B$2:$M$134,10,FALSE))</f>
        <v/>
      </c>
      <c r="I41" s="363" t="str">
        <f>IFERROR(VLOOKUP(H41,'G-1 All Habitats'!$V$3:$W$7,2,FALSE),"")</f>
        <v/>
      </c>
      <c r="J41" s="54"/>
      <c r="K41" s="363" t="str">
        <f>IFERROR(INDEX('G-8 Condition Look up'!$A$3:$H$135,MATCH(F41,'G-8 Condition Look up'!$A$3:$A$135,0),MATCH(J41,'G-8 Condition Look up'!$A$3:$H$3,0)),"")</f>
        <v/>
      </c>
      <c r="L41" s="54"/>
      <c r="M41" s="370" t="str">
        <f>IF(L41="","",IF(VLOOKUP(L41,'G-3 Multipliers'!$L$3:$N$6,2,FALSE)=0,"Spatial Data Missing",VLOOKUP(L41,'G-3 Multipliers'!$L$3:$N$6,2,FALSE)))</f>
        <v/>
      </c>
      <c r="N41" s="368" t="str">
        <f>IF(L41="","",IF(VLOOKUP(L41,'G-3 Multipliers'!$L$3:$N$6,3,FALSE)=0,"Spatial Data Missing",VLOOKUP(L41,'G-3 Multipliers'!$L$3:$N$6,3,FALSE)))</f>
        <v/>
      </c>
      <c r="O41" s="362" t="str">
        <f t="shared" si="1"/>
        <v/>
      </c>
      <c r="P41" s="63"/>
      <c r="Q41" s="63"/>
      <c r="R41" s="370" t="str">
        <f t="shared" si="2"/>
        <v/>
      </c>
      <c r="S41" s="383" t="str">
        <f t="shared" si="3"/>
        <v/>
      </c>
      <c r="T41" s="384"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losses",P41&gt;=O41),"Low",VLOOKUP(F41,'G-3 Multipliers'!$A$2:$E$134,4,FALSE))))</f>
        <v/>
      </c>
      <c r="X41" s="386" t="str">
        <f>IFERROR(IF(E41="","",VLOOKUP(W41, 'G-3 Multipliers'!$P$2:$Q$6,2,FALSE)),"")</f>
        <v/>
      </c>
      <c r="Y41" s="390" t="str">
        <f t="shared" si="4"/>
        <v/>
      </c>
      <c r="Z41" s="194"/>
      <c r="AA41" s="195"/>
      <c r="AB41" s="120"/>
      <c r="AE41" s="40" t="str">
        <f t="shared" si="0"/>
        <v/>
      </c>
    </row>
    <row r="42" spans="1:31" x14ac:dyDescent="0.25">
      <c r="A42" s="35" t="str">
        <f>IFERROR(INDEX('G-8 Condition Look up'!$I$4:$I$135,MATCH(F42,'G-8 Condition Look up'!$A$4:$A$135,0)),"")</f>
        <v/>
      </c>
      <c r="C42" s="299" t="str">
        <f>IFERROR(INDEX('G-1 All Habitats'!$AG$3:$AG$17,MATCH(D42,'G-1 All Habitats'!$AF$3:$AF$17,0)),"")</f>
        <v/>
      </c>
      <c r="D42" s="54"/>
      <c r="E42" s="61"/>
      <c r="F42" s="296" t="str">
        <f>IFERROR(INDEX('G-1 All Habitats'!$B$3:$B$134,MATCH(E42,'G-1 All Habitats'!$A$3:$A$134,0)),"")</f>
        <v/>
      </c>
      <c r="G42" s="53"/>
      <c r="H42" s="362" t="str">
        <f>IF(F42="","",VLOOKUP(F42,'G-1 All Habitats'!$B$2:$M$134,10,FALSE))</f>
        <v/>
      </c>
      <c r="I42" s="363" t="str">
        <f>IFERROR(VLOOKUP(H42,'G-1 All Habitats'!$V$3:$W$7,2,FALSE),"")</f>
        <v/>
      </c>
      <c r="J42" s="54"/>
      <c r="K42" s="363" t="str">
        <f>IFERROR(INDEX('G-8 Condition Look up'!$A$3:$H$135,MATCH(F42,'G-8 Condition Look up'!$A$3:$A$135,0),MATCH(J42,'G-8 Condition Look up'!$A$3:$H$3,0)),"")</f>
        <v/>
      </c>
      <c r="L42" s="54"/>
      <c r="M42" s="370" t="str">
        <f>IF(L42="","",IF(VLOOKUP(L42,'G-3 Multipliers'!$L$3:$N$6,2,FALSE)=0,"Spatial Data Missing",VLOOKUP(L42,'G-3 Multipliers'!$L$3:$N$6,2,FALSE)))</f>
        <v/>
      </c>
      <c r="N42" s="368" t="str">
        <f>IF(L42="","",IF(VLOOKUP(L42,'G-3 Multipliers'!$L$3:$N$6,3,FALSE)=0,"Spatial Data Missing",VLOOKUP(L42,'G-3 Multipliers'!$L$3:$N$6,3,FALSE)))</f>
        <v/>
      </c>
      <c r="O42" s="362" t="str">
        <f t="shared" si="1"/>
        <v/>
      </c>
      <c r="P42" s="63"/>
      <c r="Q42" s="63"/>
      <c r="R42" s="370" t="str">
        <f t="shared" si="2"/>
        <v/>
      </c>
      <c r="S42" s="383" t="str">
        <f t="shared" si="3"/>
        <v/>
      </c>
      <c r="T42" s="384"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losses",P42&gt;=O42),"Low",VLOOKUP(F42,'G-3 Multipliers'!$A$2:$E$134,4,FALSE))))</f>
        <v/>
      </c>
      <c r="X42" s="386" t="str">
        <f>IFERROR(IF(E42="","",VLOOKUP(W42, 'G-3 Multipliers'!$P$2:$Q$6,2,FALSE)),"")</f>
        <v/>
      </c>
      <c r="Y42" s="390" t="str">
        <f t="shared" si="4"/>
        <v/>
      </c>
      <c r="Z42" s="194"/>
      <c r="AA42" s="195"/>
      <c r="AB42" s="120"/>
      <c r="AE42" s="40" t="str">
        <f t="shared" si="0"/>
        <v/>
      </c>
    </row>
    <row r="43" spans="1:31" x14ac:dyDescent="0.25">
      <c r="A43" s="35" t="str">
        <f>IFERROR(INDEX('G-8 Condition Look up'!$I$4:$I$135,MATCH(F43,'G-8 Condition Look up'!$A$4:$A$135,0)),"")</f>
        <v/>
      </c>
      <c r="C43" s="299" t="str">
        <f>IFERROR(INDEX('G-1 All Habitats'!$AG$3:$AG$17,MATCH(D43,'G-1 All Habitats'!$AF$3:$AF$17,0)),"")</f>
        <v/>
      </c>
      <c r="D43" s="54"/>
      <c r="E43" s="61"/>
      <c r="F43" s="296" t="str">
        <f>IFERROR(INDEX('G-1 All Habitats'!$B$3:$B$134,MATCH(E43,'G-1 All Habitats'!$A$3:$A$134,0)),"")</f>
        <v/>
      </c>
      <c r="G43" s="53"/>
      <c r="H43" s="362" t="str">
        <f>IF(F43="","",VLOOKUP(F43,'G-1 All Habitats'!$B$2:$M$134,10,FALSE))</f>
        <v/>
      </c>
      <c r="I43" s="363" t="str">
        <f>IFERROR(VLOOKUP(H43,'G-1 All Habitats'!$V$3:$W$7,2,FALSE),"")</f>
        <v/>
      </c>
      <c r="J43" s="54"/>
      <c r="K43" s="363" t="str">
        <f>IFERROR(INDEX('G-8 Condition Look up'!$A$3:$H$135,MATCH(F43,'G-8 Condition Look up'!$A$3:$A$135,0),MATCH(J43,'G-8 Condition Look up'!$A$3:$H$3,0)),"")</f>
        <v/>
      </c>
      <c r="L43" s="54"/>
      <c r="M43" s="370" t="str">
        <f>IF(L43="","",IF(VLOOKUP(L43,'G-3 Multipliers'!$L$3:$N$6,2,FALSE)=0,"Spatial Data Missing",VLOOKUP(L43,'G-3 Multipliers'!$L$3:$N$6,2,FALSE)))</f>
        <v/>
      </c>
      <c r="N43" s="368" t="str">
        <f>IF(L43="","",IF(VLOOKUP(L43,'G-3 Multipliers'!$L$3:$N$6,3,FALSE)=0,"Spatial Data Missing",VLOOKUP(L43,'G-3 Multipliers'!$L$3:$N$6,3,FALSE)))</f>
        <v/>
      </c>
      <c r="O43" s="362" t="str">
        <f t="shared" si="1"/>
        <v/>
      </c>
      <c r="P43" s="63"/>
      <c r="Q43" s="63"/>
      <c r="R43" s="370" t="str">
        <f t="shared" si="2"/>
        <v/>
      </c>
      <c r="S43" s="383" t="str">
        <f t="shared" si="3"/>
        <v/>
      </c>
      <c r="T43" s="384"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losses",P43&gt;=O43),"Low",VLOOKUP(F43,'G-3 Multipliers'!$A$2:$E$134,4,FALSE))))</f>
        <v/>
      </c>
      <c r="X43" s="386" t="str">
        <f>IFERROR(IF(E43="","",VLOOKUP(W43, 'G-3 Multipliers'!$P$2:$Q$6,2,FALSE)),"")</f>
        <v/>
      </c>
      <c r="Y43" s="390" t="str">
        <f t="shared" si="4"/>
        <v/>
      </c>
      <c r="Z43" s="194"/>
      <c r="AA43" s="195"/>
      <c r="AB43" s="120"/>
      <c r="AE43" s="40" t="str">
        <f t="shared" si="0"/>
        <v/>
      </c>
    </row>
    <row r="44" spans="1:31" x14ac:dyDescent="0.25">
      <c r="A44" s="35" t="str">
        <f>IFERROR(INDEX('G-8 Condition Look up'!$I$4:$I$135,MATCH(F44,'G-8 Condition Look up'!$A$4:$A$135,0)),"")</f>
        <v/>
      </c>
      <c r="C44" s="299" t="str">
        <f>IFERROR(INDEX('G-1 All Habitats'!$AG$3:$AG$17,MATCH(D44,'G-1 All Habitats'!$AF$3:$AF$17,0)),"")</f>
        <v/>
      </c>
      <c r="D44" s="54"/>
      <c r="E44" s="61"/>
      <c r="F44" s="296" t="str">
        <f>IFERROR(INDEX('G-1 All Habitats'!$B$3:$B$134,MATCH(E44,'G-1 All Habitats'!$A$3:$A$134,0)),"")</f>
        <v/>
      </c>
      <c r="G44" s="53"/>
      <c r="H44" s="362" t="str">
        <f>IF(F44="","",VLOOKUP(F44,'G-1 All Habitats'!$B$2:$M$134,10,FALSE))</f>
        <v/>
      </c>
      <c r="I44" s="363" t="str">
        <f>IFERROR(VLOOKUP(H44,'G-1 All Habitats'!$V$3:$W$7,2,FALSE),"")</f>
        <v/>
      </c>
      <c r="J44" s="54"/>
      <c r="K44" s="363" t="str">
        <f>IFERROR(INDEX('G-8 Condition Look up'!$A$3:$H$135,MATCH(F44,'G-8 Condition Look up'!$A$3:$A$135,0),MATCH(J44,'G-8 Condition Look up'!$A$3:$H$3,0)),"")</f>
        <v/>
      </c>
      <c r="L44" s="54"/>
      <c r="M44" s="370" t="str">
        <f>IF(L44="","",IF(VLOOKUP(L44,'G-3 Multipliers'!$L$3:$N$6,2,FALSE)=0,"Spatial Data Missing",VLOOKUP(L44,'G-3 Multipliers'!$L$3:$N$6,2,FALSE)))</f>
        <v/>
      </c>
      <c r="N44" s="368" t="str">
        <f>IF(L44="","",IF(VLOOKUP(L44,'G-3 Multipliers'!$L$3:$N$6,3,FALSE)=0,"Spatial Data Missing",VLOOKUP(L44,'G-3 Multipliers'!$L$3:$N$6,3,FALSE)))</f>
        <v/>
      </c>
      <c r="O44" s="362" t="str">
        <f t="shared" si="1"/>
        <v/>
      </c>
      <c r="P44" s="63"/>
      <c r="Q44" s="63"/>
      <c r="R44" s="370" t="str">
        <f t="shared" si="2"/>
        <v/>
      </c>
      <c r="S44" s="383" t="str">
        <f t="shared" si="3"/>
        <v/>
      </c>
      <c r="T44" s="384"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losses",P44&gt;=O44),"Low",VLOOKUP(F44,'G-3 Multipliers'!$A$2:$E$134,4,FALSE))))</f>
        <v/>
      </c>
      <c r="X44" s="386" t="str">
        <f>IFERROR(IF(E44="","",VLOOKUP(W44, 'G-3 Multipliers'!$P$2:$Q$6,2,FALSE)),"")</f>
        <v/>
      </c>
      <c r="Y44" s="390" t="str">
        <f t="shared" si="4"/>
        <v/>
      </c>
      <c r="Z44" s="194"/>
      <c r="AA44" s="195"/>
      <c r="AB44" s="120"/>
      <c r="AE44" s="40" t="str">
        <f t="shared" si="0"/>
        <v/>
      </c>
    </row>
    <row r="45" spans="1:31" x14ac:dyDescent="0.25">
      <c r="A45" s="35" t="str">
        <f>IFERROR(INDEX('G-8 Condition Look up'!$I$4:$I$135,MATCH(F45,'G-8 Condition Look up'!$A$4:$A$135,0)),"")</f>
        <v/>
      </c>
      <c r="C45" s="299" t="str">
        <f>IFERROR(INDEX('G-1 All Habitats'!$AG$3:$AG$17,MATCH(D45,'G-1 All Habitats'!$AF$3:$AF$17,0)),"")</f>
        <v/>
      </c>
      <c r="D45" s="54"/>
      <c r="E45" s="61"/>
      <c r="F45" s="296" t="str">
        <f>IFERROR(INDEX('G-1 All Habitats'!$B$3:$B$134,MATCH(E45,'G-1 All Habitats'!$A$3:$A$134,0)),"")</f>
        <v/>
      </c>
      <c r="G45" s="53"/>
      <c r="H45" s="362" t="str">
        <f>IF(F45="","",VLOOKUP(F45,'G-1 All Habitats'!$B$2:$M$134,10,FALSE))</f>
        <v/>
      </c>
      <c r="I45" s="363" t="str">
        <f>IFERROR(VLOOKUP(H45,'G-1 All Habitats'!$V$3:$W$7,2,FALSE),"")</f>
        <v/>
      </c>
      <c r="J45" s="54"/>
      <c r="K45" s="363" t="str">
        <f>IFERROR(INDEX('G-8 Condition Look up'!$A$3:$H$135,MATCH(F45,'G-8 Condition Look up'!$A$3:$A$135,0),MATCH(J45,'G-8 Condition Look up'!$A$3:$H$3,0)),"")</f>
        <v/>
      </c>
      <c r="L45" s="54"/>
      <c r="M45" s="370" t="str">
        <f>IF(L45="","",IF(VLOOKUP(L45,'G-3 Multipliers'!$L$3:$N$6,2,FALSE)=0,"Spatial Data Missing",VLOOKUP(L45,'G-3 Multipliers'!$L$3:$N$6,2,FALSE)))</f>
        <v/>
      </c>
      <c r="N45" s="368" t="str">
        <f>IF(L45="","",IF(VLOOKUP(L45,'G-3 Multipliers'!$L$3:$N$6,3,FALSE)=0,"Spatial Data Missing",VLOOKUP(L45,'G-3 Multipliers'!$L$3:$N$6,3,FALSE)))</f>
        <v/>
      </c>
      <c r="O45" s="362" t="str">
        <f t="shared" si="1"/>
        <v/>
      </c>
      <c r="P45" s="63"/>
      <c r="Q45" s="63"/>
      <c r="R45" s="370" t="str">
        <f t="shared" si="2"/>
        <v/>
      </c>
      <c r="S45" s="383" t="str">
        <f t="shared" si="3"/>
        <v/>
      </c>
      <c r="T45" s="384"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losses",P45&gt;=O45),"Low",VLOOKUP(F45,'G-3 Multipliers'!$A$2:$E$134,4,FALSE))))</f>
        <v/>
      </c>
      <c r="X45" s="386" t="str">
        <f>IFERROR(IF(E45="","",VLOOKUP(W45, 'G-3 Multipliers'!$P$2:$Q$6,2,FALSE)),"")</f>
        <v/>
      </c>
      <c r="Y45" s="390" t="str">
        <f t="shared" si="4"/>
        <v/>
      </c>
      <c r="Z45" s="194"/>
      <c r="AA45" s="195"/>
      <c r="AB45" s="120"/>
      <c r="AE45" s="40" t="str">
        <f t="shared" si="0"/>
        <v/>
      </c>
    </row>
    <row r="46" spans="1:31" x14ac:dyDescent="0.25">
      <c r="A46" s="35" t="str">
        <f>IFERROR(INDEX('G-8 Condition Look up'!$I$4:$I$135,MATCH(F46,'G-8 Condition Look up'!$A$4:$A$135,0)),"")</f>
        <v/>
      </c>
      <c r="C46" s="299" t="str">
        <f>IFERROR(INDEX('G-1 All Habitats'!$AG$3:$AG$17,MATCH(D46,'G-1 All Habitats'!$AF$3:$AF$17,0)),"")</f>
        <v/>
      </c>
      <c r="D46" s="54"/>
      <c r="E46" s="61"/>
      <c r="F46" s="296" t="str">
        <f>IFERROR(INDEX('G-1 All Habitats'!$B$3:$B$134,MATCH(E46,'G-1 All Habitats'!$A$3:$A$134,0)),"")</f>
        <v/>
      </c>
      <c r="G46" s="53"/>
      <c r="H46" s="362" t="str">
        <f>IF(F46="","",VLOOKUP(F46,'G-1 All Habitats'!$B$2:$M$134,10,FALSE))</f>
        <v/>
      </c>
      <c r="I46" s="363" t="str">
        <f>IFERROR(VLOOKUP(H46,'G-1 All Habitats'!$V$3:$W$7,2,FALSE),"")</f>
        <v/>
      </c>
      <c r="J46" s="54"/>
      <c r="K46" s="363" t="str">
        <f>IFERROR(INDEX('G-8 Condition Look up'!$A$3:$H$135,MATCH(F46,'G-8 Condition Look up'!$A$3:$A$135,0),MATCH(J46,'G-8 Condition Look up'!$A$3:$H$3,0)),"")</f>
        <v/>
      </c>
      <c r="L46" s="54"/>
      <c r="M46" s="370" t="str">
        <f>IF(L46="","",IF(VLOOKUP(L46,'G-3 Multipliers'!$L$3:$N$6,2,FALSE)=0,"Spatial Data Missing",VLOOKUP(L46,'G-3 Multipliers'!$L$3:$N$6,2,FALSE)))</f>
        <v/>
      </c>
      <c r="N46" s="368" t="str">
        <f>IF(L46="","",IF(VLOOKUP(L46,'G-3 Multipliers'!$L$3:$N$6,3,FALSE)=0,"Spatial Data Missing",VLOOKUP(L46,'G-3 Multipliers'!$L$3:$N$6,3,FALSE)))</f>
        <v/>
      </c>
      <c r="O46" s="362" t="str">
        <f t="shared" si="1"/>
        <v/>
      </c>
      <c r="P46" s="63"/>
      <c r="Q46" s="63"/>
      <c r="R46" s="370" t="str">
        <f t="shared" si="2"/>
        <v/>
      </c>
      <c r="S46" s="383" t="str">
        <f t="shared" si="3"/>
        <v/>
      </c>
      <c r="T46" s="384"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losses",P46&gt;=O46),"Low",VLOOKUP(F46,'G-3 Multipliers'!$A$2:$E$134,4,FALSE))))</f>
        <v/>
      </c>
      <c r="X46" s="386" t="str">
        <f>IFERROR(IF(E46="","",VLOOKUP(W46, 'G-3 Multipliers'!$P$2:$Q$6,2,FALSE)),"")</f>
        <v/>
      </c>
      <c r="Y46" s="390" t="str">
        <f t="shared" si="4"/>
        <v/>
      </c>
      <c r="Z46" s="194"/>
      <c r="AA46" s="195"/>
      <c r="AB46" s="120"/>
      <c r="AE46" s="40" t="str">
        <f t="shared" si="0"/>
        <v/>
      </c>
    </row>
    <row r="47" spans="1:31" x14ac:dyDescent="0.25">
      <c r="A47" s="35" t="str">
        <f>IFERROR(INDEX('G-8 Condition Look up'!$I$4:$I$135,MATCH(F47,'G-8 Condition Look up'!$A$4:$A$135,0)),"")</f>
        <v/>
      </c>
      <c r="C47" s="299" t="str">
        <f>IFERROR(INDEX('G-1 All Habitats'!$AG$3:$AG$17,MATCH(D47,'G-1 All Habitats'!$AF$3:$AF$17,0)),"")</f>
        <v/>
      </c>
      <c r="D47" s="54"/>
      <c r="E47" s="61"/>
      <c r="F47" s="296" t="str">
        <f>IFERROR(INDEX('G-1 All Habitats'!$B$3:$B$134,MATCH(E47,'G-1 All Habitats'!$A$3:$A$134,0)),"")</f>
        <v/>
      </c>
      <c r="G47" s="53"/>
      <c r="H47" s="362" t="str">
        <f>IF(F47="","",VLOOKUP(F47,'G-1 All Habitats'!$B$2:$M$134,10,FALSE))</f>
        <v/>
      </c>
      <c r="I47" s="363" t="str">
        <f>IFERROR(VLOOKUP(H47,'G-1 All Habitats'!$V$3:$W$7,2,FALSE),"")</f>
        <v/>
      </c>
      <c r="J47" s="54"/>
      <c r="K47" s="363" t="str">
        <f>IFERROR(INDEX('G-8 Condition Look up'!$A$3:$H$135,MATCH(F47,'G-8 Condition Look up'!$A$3:$A$135,0),MATCH(J47,'G-8 Condition Look up'!$A$3:$H$3,0)),"")</f>
        <v/>
      </c>
      <c r="L47" s="54"/>
      <c r="M47" s="370" t="str">
        <f>IF(L47="","",IF(VLOOKUP(L47,'G-3 Multipliers'!$L$3:$N$6,2,FALSE)=0,"Spatial Data Missing",VLOOKUP(L47,'G-3 Multipliers'!$L$3:$N$6,2,FALSE)))</f>
        <v/>
      </c>
      <c r="N47" s="368" t="str">
        <f>IF(L47="","",IF(VLOOKUP(L47,'G-3 Multipliers'!$L$3:$N$6,3,FALSE)=0,"Spatial Data Missing",VLOOKUP(L47,'G-3 Multipliers'!$L$3:$N$6,3,FALSE)))</f>
        <v/>
      </c>
      <c r="O47" s="362" t="str">
        <f t="shared" si="1"/>
        <v/>
      </c>
      <c r="P47" s="63"/>
      <c r="Q47" s="63"/>
      <c r="R47" s="370" t="str">
        <f t="shared" si="2"/>
        <v/>
      </c>
      <c r="S47" s="383" t="str">
        <f t="shared" si="3"/>
        <v/>
      </c>
      <c r="T47" s="384"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losses",P47&gt;=O47),"Low",VLOOKUP(F47,'G-3 Multipliers'!$A$2:$E$134,4,FALSE))))</f>
        <v/>
      </c>
      <c r="X47" s="386" t="str">
        <f>IFERROR(IF(E47="","",VLOOKUP(W47, 'G-3 Multipliers'!$P$2:$Q$6,2,FALSE)),"")</f>
        <v/>
      </c>
      <c r="Y47" s="390" t="str">
        <f t="shared" si="4"/>
        <v/>
      </c>
      <c r="Z47" s="194"/>
      <c r="AA47" s="195"/>
      <c r="AB47" s="120"/>
      <c r="AE47" s="40" t="str">
        <f t="shared" si="0"/>
        <v/>
      </c>
    </row>
    <row r="48" spans="1:31" x14ac:dyDescent="0.25">
      <c r="A48" s="35" t="str">
        <f>IFERROR(INDEX('G-8 Condition Look up'!$I$4:$I$135,MATCH(F48,'G-8 Condition Look up'!$A$4:$A$135,0)),"")</f>
        <v/>
      </c>
      <c r="C48" s="299" t="str">
        <f>IFERROR(INDEX('G-1 All Habitats'!$AG$3:$AG$17,MATCH(D48,'G-1 All Habitats'!$AF$3:$AF$17,0)),"")</f>
        <v/>
      </c>
      <c r="D48" s="54"/>
      <c r="E48" s="61"/>
      <c r="F48" s="296" t="str">
        <f>IFERROR(INDEX('G-1 All Habitats'!$B$3:$B$134,MATCH(E48,'G-1 All Habitats'!$A$3:$A$134,0)),"")</f>
        <v/>
      </c>
      <c r="G48" s="53"/>
      <c r="H48" s="362" t="str">
        <f>IF(F48="","",VLOOKUP(F48,'G-1 All Habitats'!$B$2:$M$134,10,FALSE))</f>
        <v/>
      </c>
      <c r="I48" s="363" t="str">
        <f>IFERROR(VLOOKUP(H48,'G-1 All Habitats'!$V$3:$W$7,2,FALSE),"")</f>
        <v/>
      </c>
      <c r="J48" s="54"/>
      <c r="K48" s="363" t="str">
        <f>IFERROR(INDEX('G-8 Condition Look up'!$A$3:$H$135,MATCH(F48,'G-8 Condition Look up'!$A$3:$A$135,0),MATCH(J48,'G-8 Condition Look up'!$A$3:$H$3,0)),"")</f>
        <v/>
      </c>
      <c r="L48" s="54"/>
      <c r="M48" s="370" t="str">
        <f>IF(L48="","",IF(VLOOKUP(L48,'G-3 Multipliers'!$L$3:$N$6,2,FALSE)=0,"Spatial Data Missing",VLOOKUP(L48,'G-3 Multipliers'!$L$3:$N$6,2,FALSE)))</f>
        <v/>
      </c>
      <c r="N48" s="368" t="str">
        <f>IF(L48="","",IF(VLOOKUP(L48,'G-3 Multipliers'!$L$3:$N$6,3,FALSE)=0,"Spatial Data Missing",VLOOKUP(L48,'G-3 Multipliers'!$L$3:$N$6,3,FALSE)))</f>
        <v/>
      </c>
      <c r="O48" s="362" t="str">
        <f t="shared" si="1"/>
        <v/>
      </c>
      <c r="P48" s="63"/>
      <c r="Q48" s="63"/>
      <c r="R48" s="370" t="str">
        <f t="shared" si="2"/>
        <v/>
      </c>
      <c r="S48" s="383" t="str">
        <f t="shared" si="3"/>
        <v/>
      </c>
      <c r="T48" s="384"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losses",P48&gt;=O48),"Low",VLOOKUP(F48,'G-3 Multipliers'!$A$2:$E$134,4,FALSE))))</f>
        <v/>
      </c>
      <c r="X48" s="386" t="str">
        <f>IFERROR(IF(E48="","",VLOOKUP(W48, 'G-3 Multipliers'!$P$2:$Q$6,2,FALSE)),"")</f>
        <v/>
      </c>
      <c r="Y48" s="390" t="str">
        <f t="shared" si="4"/>
        <v/>
      </c>
      <c r="Z48" s="194"/>
      <c r="AA48" s="195"/>
      <c r="AB48" s="120"/>
      <c r="AE48" s="40" t="str">
        <f t="shared" si="0"/>
        <v/>
      </c>
    </row>
    <row r="49" spans="1:31" x14ac:dyDescent="0.25">
      <c r="A49" s="35" t="str">
        <f>IFERROR(INDEX('G-8 Condition Look up'!$I$4:$I$135,MATCH(F49,'G-8 Condition Look up'!$A$4:$A$135,0)),"")</f>
        <v/>
      </c>
      <c r="C49" s="299" t="str">
        <f>IFERROR(INDEX('G-1 All Habitats'!$AG$3:$AG$17,MATCH(D49,'G-1 All Habitats'!$AF$3:$AF$17,0)),"")</f>
        <v/>
      </c>
      <c r="D49" s="54"/>
      <c r="E49" s="61"/>
      <c r="F49" s="296" t="str">
        <f>IFERROR(INDEX('G-1 All Habitats'!$B$3:$B$134,MATCH(E49,'G-1 All Habitats'!$A$3:$A$134,0)),"")</f>
        <v/>
      </c>
      <c r="G49" s="53"/>
      <c r="H49" s="362" t="str">
        <f>IF(F49="","",VLOOKUP(F49,'G-1 All Habitats'!$B$2:$M$134,10,FALSE))</f>
        <v/>
      </c>
      <c r="I49" s="363" t="str">
        <f>IFERROR(VLOOKUP(H49,'G-1 All Habitats'!$V$3:$W$7,2,FALSE),"")</f>
        <v/>
      </c>
      <c r="J49" s="54"/>
      <c r="K49" s="363" t="str">
        <f>IFERROR(INDEX('G-8 Condition Look up'!$A$3:$H$135,MATCH(F49,'G-8 Condition Look up'!$A$3:$A$135,0),MATCH(J49,'G-8 Condition Look up'!$A$3:$H$3,0)),"")</f>
        <v/>
      </c>
      <c r="L49" s="54"/>
      <c r="M49" s="370" t="str">
        <f>IF(L49="","",IF(VLOOKUP(L49,'G-3 Multipliers'!$L$3:$N$6,2,FALSE)=0,"Spatial Data Missing",VLOOKUP(L49,'G-3 Multipliers'!$L$3:$N$6,2,FALSE)))</f>
        <v/>
      </c>
      <c r="N49" s="368" t="str">
        <f>IF(L49="","",IF(VLOOKUP(L49,'G-3 Multipliers'!$L$3:$N$6,3,FALSE)=0,"Spatial Data Missing",VLOOKUP(L49,'G-3 Multipliers'!$L$3:$N$6,3,FALSE)))</f>
        <v/>
      </c>
      <c r="O49" s="362" t="str">
        <f t="shared" si="1"/>
        <v/>
      </c>
      <c r="P49" s="63"/>
      <c r="Q49" s="63"/>
      <c r="R49" s="370" t="str">
        <f t="shared" si="2"/>
        <v/>
      </c>
      <c r="S49" s="383" t="str">
        <f t="shared" si="3"/>
        <v/>
      </c>
      <c r="T49" s="384"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losses",P49&gt;=O49),"Low",VLOOKUP(F49,'G-3 Multipliers'!$A$2:$E$134,4,FALSE))))</f>
        <v/>
      </c>
      <c r="X49" s="386" t="str">
        <f>IFERROR(IF(E49="","",VLOOKUP(W49, 'G-3 Multipliers'!$P$2:$Q$6,2,FALSE)),"")</f>
        <v/>
      </c>
      <c r="Y49" s="390" t="str">
        <f t="shared" si="4"/>
        <v/>
      </c>
      <c r="Z49" s="194"/>
      <c r="AA49" s="195"/>
      <c r="AB49" s="120"/>
      <c r="AE49" s="40" t="str">
        <f t="shared" si="0"/>
        <v/>
      </c>
    </row>
    <row r="50" spans="1:31" x14ac:dyDescent="0.25">
      <c r="A50" s="35" t="str">
        <f>IFERROR(INDEX('G-8 Condition Look up'!$I$4:$I$135,MATCH(F50,'G-8 Condition Look up'!$A$4:$A$135,0)),"")</f>
        <v/>
      </c>
      <c r="C50" s="299" t="str">
        <f>IFERROR(INDEX('G-1 All Habitats'!$AG$3:$AG$17,MATCH(D50,'G-1 All Habitats'!$AF$3:$AF$17,0)),"")</f>
        <v/>
      </c>
      <c r="D50" s="54"/>
      <c r="E50" s="61"/>
      <c r="F50" s="296" t="str">
        <f>IFERROR(INDEX('G-1 All Habitats'!$B$3:$B$134,MATCH(E50,'G-1 All Habitats'!$A$3:$A$134,0)),"")</f>
        <v/>
      </c>
      <c r="G50" s="53"/>
      <c r="H50" s="362" t="str">
        <f>IF(F50="","",VLOOKUP(F50,'G-1 All Habitats'!$B$2:$M$134,10,FALSE))</f>
        <v/>
      </c>
      <c r="I50" s="363" t="str">
        <f>IFERROR(VLOOKUP(H50,'G-1 All Habitats'!$V$3:$W$7,2,FALSE),"")</f>
        <v/>
      </c>
      <c r="J50" s="54"/>
      <c r="K50" s="363" t="str">
        <f>IFERROR(INDEX('G-8 Condition Look up'!$A$3:$H$135,MATCH(F50,'G-8 Condition Look up'!$A$3:$A$135,0),MATCH(J50,'G-8 Condition Look up'!$A$3:$H$3,0)),"")</f>
        <v/>
      </c>
      <c r="L50" s="54"/>
      <c r="M50" s="370" t="str">
        <f>IF(L50="","",IF(VLOOKUP(L50,'G-3 Multipliers'!$L$3:$N$6,2,FALSE)=0,"Spatial Data Missing",VLOOKUP(L50,'G-3 Multipliers'!$L$3:$N$6,2,FALSE)))</f>
        <v/>
      </c>
      <c r="N50" s="368" t="str">
        <f>IF(L50="","",IF(VLOOKUP(L50,'G-3 Multipliers'!$L$3:$N$6,3,FALSE)=0,"Spatial Data Missing",VLOOKUP(L50,'G-3 Multipliers'!$L$3:$N$6,3,FALSE)))</f>
        <v/>
      </c>
      <c r="O50" s="362" t="str">
        <f t="shared" si="1"/>
        <v/>
      </c>
      <c r="P50" s="63"/>
      <c r="Q50" s="63"/>
      <c r="R50" s="370" t="str">
        <f t="shared" si="2"/>
        <v/>
      </c>
      <c r="S50" s="383" t="str">
        <f t="shared" si="3"/>
        <v/>
      </c>
      <c r="T50" s="384"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losses",P50&gt;=O50),"Low",VLOOKUP(F50,'G-3 Multipliers'!$A$2:$E$134,4,FALSE))))</f>
        <v/>
      </c>
      <c r="X50" s="386" t="str">
        <f>IFERROR(IF(E50="","",VLOOKUP(W50, 'G-3 Multipliers'!$P$2:$Q$6,2,FALSE)),"")</f>
        <v/>
      </c>
      <c r="Y50" s="390" t="str">
        <f t="shared" si="4"/>
        <v/>
      </c>
      <c r="Z50" s="194"/>
      <c r="AA50" s="195"/>
      <c r="AB50" s="120"/>
      <c r="AE50" s="40" t="str">
        <f t="shared" si="0"/>
        <v/>
      </c>
    </row>
    <row r="51" spans="1:31" x14ac:dyDescent="0.25">
      <c r="A51" s="35" t="str">
        <f>IFERROR(INDEX('G-8 Condition Look up'!$I$4:$I$135,MATCH(F51,'G-8 Condition Look up'!$A$4:$A$135,0)),"")</f>
        <v/>
      </c>
      <c r="C51" s="299" t="str">
        <f>IFERROR(INDEX('G-1 All Habitats'!$AG$3:$AG$17,MATCH(D51,'G-1 All Habitats'!$AF$3:$AF$17,0)),"")</f>
        <v/>
      </c>
      <c r="D51" s="54"/>
      <c r="E51" s="61"/>
      <c r="F51" s="296" t="str">
        <f>IFERROR(INDEX('G-1 All Habitats'!$B$3:$B$134,MATCH(E51,'G-1 All Habitats'!$A$3:$A$134,0)),"")</f>
        <v/>
      </c>
      <c r="G51" s="53"/>
      <c r="H51" s="362" t="str">
        <f>IF(F51="","",VLOOKUP(F51,'G-1 All Habitats'!$B$2:$M$134,10,FALSE))</f>
        <v/>
      </c>
      <c r="I51" s="363" t="str">
        <f>IFERROR(VLOOKUP(H51,'G-1 All Habitats'!$V$3:$W$7,2,FALSE),"")</f>
        <v/>
      </c>
      <c r="J51" s="54"/>
      <c r="K51" s="363" t="str">
        <f>IFERROR(INDEX('G-8 Condition Look up'!$A$3:$H$135,MATCH(F51,'G-8 Condition Look up'!$A$3:$A$135,0),MATCH(J51,'G-8 Condition Look up'!$A$3:$H$3,0)),"")</f>
        <v/>
      </c>
      <c r="L51" s="54"/>
      <c r="M51" s="370" t="str">
        <f>IF(L51="","",IF(VLOOKUP(L51,'G-3 Multipliers'!$L$3:$N$6,2,FALSE)=0,"Spatial Data Missing",VLOOKUP(L51,'G-3 Multipliers'!$L$3:$N$6,2,FALSE)))</f>
        <v/>
      </c>
      <c r="N51" s="368" t="str">
        <f>IF(L51="","",IF(VLOOKUP(L51,'G-3 Multipliers'!$L$3:$N$6,3,FALSE)=0,"Spatial Data Missing",VLOOKUP(L51,'G-3 Multipliers'!$L$3:$N$6,3,FALSE)))</f>
        <v/>
      </c>
      <c r="O51" s="362" t="str">
        <f t="shared" si="1"/>
        <v/>
      </c>
      <c r="P51" s="63"/>
      <c r="Q51" s="63"/>
      <c r="R51" s="370" t="str">
        <f t="shared" si="2"/>
        <v/>
      </c>
      <c r="S51" s="383" t="str">
        <f t="shared" si="3"/>
        <v/>
      </c>
      <c r="T51" s="384"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losses",P51&gt;=O51),"Low",VLOOKUP(F51,'G-3 Multipliers'!$A$2:$E$134,4,FALSE))))</f>
        <v/>
      </c>
      <c r="X51" s="386" t="str">
        <f>IFERROR(IF(E51="","",VLOOKUP(W51, 'G-3 Multipliers'!$P$2:$Q$6,2,FALSE)),"")</f>
        <v/>
      </c>
      <c r="Y51" s="390" t="str">
        <f t="shared" si="4"/>
        <v/>
      </c>
      <c r="Z51" s="194"/>
      <c r="AA51" s="195"/>
      <c r="AB51" s="120"/>
      <c r="AE51" s="40" t="str">
        <f t="shared" si="0"/>
        <v/>
      </c>
    </row>
    <row r="52" spans="1:31" x14ac:dyDescent="0.25">
      <c r="A52" s="35" t="str">
        <f>IFERROR(INDEX('G-8 Condition Look up'!$I$4:$I$135,MATCH(F52,'G-8 Condition Look up'!$A$4:$A$135,0)),"")</f>
        <v/>
      </c>
      <c r="C52" s="299" t="str">
        <f>IFERROR(INDEX('G-1 All Habitats'!$AG$3:$AG$17,MATCH(D52,'G-1 All Habitats'!$AF$3:$AF$17,0)),"")</f>
        <v/>
      </c>
      <c r="D52" s="54"/>
      <c r="E52" s="61"/>
      <c r="F52" s="296" t="str">
        <f>IFERROR(INDEX('G-1 All Habitats'!$B$3:$B$134,MATCH(E52,'G-1 All Habitats'!$A$3:$A$134,0)),"")</f>
        <v/>
      </c>
      <c r="G52" s="53"/>
      <c r="H52" s="362" t="str">
        <f>IF(F52="","",VLOOKUP(F52,'G-1 All Habitats'!$B$2:$M$134,10,FALSE))</f>
        <v/>
      </c>
      <c r="I52" s="363" t="str">
        <f>IFERROR(VLOOKUP(H52,'G-1 All Habitats'!$V$3:$W$7,2,FALSE),"")</f>
        <v/>
      </c>
      <c r="J52" s="54"/>
      <c r="K52" s="363" t="str">
        <f>IFERROR(INDEX('G-8 Condition Look up'!$A$3:$H$135,MATCH(F52,'G-8 Condition Look up'!$A$3:$A$135,0),MATCH(J52,'G-8 Condition Look up'!$A$3:$H$3,0)),"")</f>
        <v/>
      </c>
      <c r="L52" s="54"/>
      <c r="M52" s="370" t="str">
        <f>IF(L52="","",IF(VLOOKUP(L52,'G-3 Multipliers'!$L$3:$N$6,2,FALSE)=0,"Spatial Data Missing",VLOOKUP(L52,'G-3 Multipliers'!$L$3:$N$6,2,FALSE)))</f>
        <v/>
      </c>
      <c r="N52" s="368" t="str">
        <f>IF(L52="","",IF(VLOOKUP(L52,'G-3 Multipliers'!$L$3:$N$6,3,FALSE)=0,"Spatial Data Missing",VLOOKUP(L52,'G-3 Multipliers'!$L$3:$N$6,3,FALSE)))</f>
        <v/>
      </c>
      <c r="O52" s="362" t="str">
        <f t="shared" si="1"/>
        <v/>
      </c>
      <c r="P52" s="63"/>
      <c r="Q52" s="63"/>
      <c r="R52" s="370" t="str">
        <f t="shared" si="2"/>
        <v/>
      </c>
      <c r="S52" s="383" t="str">
        <f t="shared" si="3"/>
        <v/>
      </c>
      <c r="T52" s="384"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losses",P52&gt;=O52),"Low",VLOOKUP(F52,'G-3 Multipliers'!$A$2:$E$134,4,FALSE))))</f>
        <v/>
      </c>
      <c r="X52" s="386" t="str">
        <f>IFERROR(IF(E52="","",VLOOKUP(W52, 'G-3 Multipliers'!$P$2:$Q$6,2,FALSE)),"")</f>
        <v/>
      </c>
      <c r="Y52" s="390" t="str">
        <f t="shared" si="4"/>
        <v/>
      </c>
      <c r="Z52" s="194"/>
      <c r="AA52" s="195"/>
      <c r="AB52" s="120"/>
      <c r="AE52" s="40" t="str">
        <f t="shared" si="0"/>
        <v/>
      </c>
    </row>
    <row r="53" spans="1:31" x14ac:dyDescent="0.25">
      <c r="A53" s="35" t="str">
        <f>IFERROR(INDEX('G-8 Condition Look up'!$I$4:$I$135,MATCH(F53,'G-8 Condition Look up'!$A$4:$A$135,0)),"")</f>
        <v/>
      </c>
      <c r="C53" s="299" t="str">
        <f>IFERROR(INDEX('G-1 All Habitats'!$AG$3:$AG$17,MATCH(D53,'G-1 All Habitats'!$AF$3:$AF$17,0)),"")</f>
        <v/>
      </c>
      <c r="D53" s="54"/>
      <c r="E53" s="61"/>
      <c r="F53" s="296" t="str">
        <f>IFERROR(INDEX('G-1 All Habitats'!$B$3:$B$134,MATCH(E53,'G-1 All Habitats'!$A$3:$A$134,0)),"")</f>
        <v/>
      </c>
      <c r="G53" s="53"/>
      <c r="H53" s="362" t="str">
        <f>IF(F53="","",VLOOKUP(F53,'G-1 All Habitats'!$B$2:$M$134,10,FALSE))</f>
        <v/>
      </c>
      <c r="I53" s="363" t="str">
        <f>IFERROR(VLOOKUP(H53,'G-1 All Habitats'!$V$3:$W$7,2,FALSE),"")</f>
        <v/>
      </c>
      <c r="J53" s="54"/>
      <c r="K53" s="363" t="str">
        <f>IFERROR(INDEX('G-8 Condition Look up'!$A$3:$H$135,MATCH(F53,'G-8 Condition Look up'!$A$3:$A$135,0),MATCH(J53,'G-8 Condition Look up'!$A$3:$H$3,0)),"")</f>
        <v/>
      </c>
      <c r="L53" s="54"/>
      <c r="M53" s="370" t="str">
        <f>IF(L53="","",IF(VLOOKUP(L53,'G-3 Multipliers'!$L$3:$N$6,2,FALSE)=0,"Spatial Data Missing",VLOOKUP(L53,'G-3 Multipliers'!$L$3:$N$6,2,FALSE)))</f>
        <v/>
      </c>
      <c r="N53" s="368" t="str">
        <f>IF(L53="","",IF(VLOOKUP(L53,'G-3 Multipliers'!$L$3:$N$6,3,FALSE)=0,"Spatial Data Missing",VLOOKUP(L53,'G-3 Multipliers'!$L$3:$N$6,3,FALSE)))</f>
        <v/>
      </c>
      <c r="O53" s="362" t="str">
        <f t="shared" si="1"/>
        <v/>
      </c>
      <c r="P53" s="63"/>
      <c r="Q53" s="63"/>
      <c r="R53" s="370" t="str">
        <f t="shared" si="2"/>
        <v/>
      </c>
      <c r="S53" s="383" t="str">
        <f t="shared" si="3"/>
        <v/>
      </c>
      <c r="T53" s="384"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losses",P53&gt;=O53),"Low",VLOOKUP(F53,'G-3 Multipliers'!$A$2:$E$134,4,FALSE))))</f>
        <v/>
      </c>
      <c r="X53" s="386" t="str">
        <f>IFERROR(IF(E53="","",VLOOKUP(W53, 'G-3 Multipliers'!$P$2:$Q$6,2,FALSE)),"")</f>
        <v/>
      </c>
      <c r="Y53" s="390" t="str">
        <f t="shared" si="4"/>
        <v/>
      </c>
      <c r="Z53" s="194"/>
      <c r="AA53" s="195"/>
      <c r="AB53" s="120"/>
      <c r="AE53" s="40" t="str">
        <f t="shared" si="0"/>
        <v/>
      </c>
    </row>
    <row r="54" spans="1:31" x14ac:dyDescent="0.25">
      <c r="A54" s="35" t="str">
        <f>IFERROR(INDEX('G-8 Condition Look up'!$I$4:$I$135,MATCH(F54,'G-8 Condition Look up'!$A$4:$A$135,0)),"")</f>
        <v/>
      </c>
      <c r="C54" s="299" t="str">
        <f>IFERROR(INDEX('G-1 All Habitats'!$AG$3:$AG$17,MATCH(D54,'G-1 All Habitats'!$AF$3:$AF$17,0)),"")</f>
        <v/>
      </c>
      <c r="D54" s="54"/>
      <c r="E54" s="61"/>
      <c r="F54" s="296" t="str">
        <f>IFERROR(INDEX('G-1 All Habitats'!$B$3:$B$134,MATCH(E54,'G-1 All Habitats'!$A$3:$A$134,0)),"")</f>
        <v/>
      </c>
      <c r="G54" s="53"/>
      <c r="H54" s="362" t="str">
        <f>IF(F54="","",VLOOKUP(F54,'G-1 All Habitats'!$B$2:$M$134,10,FALSE))</f>
        <v/>
      </c>
      <c r="I54" s="363" t="str">
        <f>IFERROR(VLOOKUP(H54,'G-1 All Habitats'!$V$3:$W$7,2,FALSE),"")</f>
        <v/>
      </c>
      <c r="J54" s="54"/>
      <c r="K54" s="363" t="str">
        <f>IFERROR(INDEX('G-8 Condition Look up'!$A$3:$H$135,MATCH(F54,'G-8 Condition Look up'!$A$3:$A$135,0),MATCH(J54,'G-8 Condition Look up'!$A$3:$H$3,0)),"")</f>
        <v/>
      </c>
      <c r="L54" s="54"/>
      <c r="M54" s="370" t="str">
        <f>IF(L54="","",IF(VLOOKUP(L54,'G-3 Multipliers'!$L$3:$N$6,2,FALSE)=0,"Spatial Data Missing",VLOOKUP(L54,'G-3 Multipliers'!$L$3:$N$6,2,FALSE)))</f>
        <v/>
      </c>
      <c r="N54" s="368" t="str">
        <f>IF(L54="","",IF(VLOOKUP(L54,'G-3 Multipliers'!$L$3:$N$6,3,FALSE)=0,"Spatial Data Missing",VLOOKUP(L54,'G-3 Multipliers'!$L$3:$N$6,3,FALSE)))</f>
        <v/>
      </c>
      <c r="O54" s="362" t="str">
        <f t="shared" si="1"/>
        <v/>
      </c>
      <c r="P54" s="63"/>
      <c r="Q54" s="63"/>
      <c r="R54" s="370" t="str">
        <f t="shared" si="2"/>
        <v/>
      </c>
      <c r="S54" s="383" t="str">
        <f t="shared" si="3"/>
        <v/>
      </c>
      <c r="T54" s="384"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losses",P54&gt;=O54),"Low",VLOOKUP(F54,'G-3 Multipliers'!$A$2:$E$134,4,FALSE))))</f>
        <v/>
      </c>
      <c r="X54" s="386" t="str">
        <f>IFERROR(IF(E54="","",VLOOKUP(W54, 'G-3 Multipliers'!$P$2:$Q$6,2,FALSE)),"")</f>
        <v/>
      </c>
      <c r="Y54" s="390" t="str">
        <f t="shared" si="4"/>
        <v/>
      </c>
      <c r="Z54" s="194"/>
      <c r="AA54" s="195"/>
      <c r="AB54" s="120"/>
      <c r="AE54" s="40" t="str">
        <f t="shared" si="0"/>
        <v/>
      </c>
    </row>
    <row r="55" spans="1:31" x14ac:dyDescent="0.25">
      <c r="A55" s="35" t="str">
        <f>IFERROR(INDEX('G-8 Condition Look up'!$I$4:$I$135,MATCH(F55,'G-8 Condition Look up'!$A$4:$A$135,0)),"")</f>
        <v/>
      </c>
      <c r="C55" s="299" t="str">
        <f>IFERROR(INDEX('G-1 All Habitats'!$AG$3:$AG$17,MATCH(D55,'G-1 All Habitats'!$AF$3:$AF$17,0)),"")</f>
        <v/>
      </c>
      <c r="D55" s="54"/>
      <c r="E55" s="61"/>
      <c r="F55" s="296" t="str">
        <f>IFERROR(INDEX('G-1 All Habitats'!$B$3:$B$134,MATCH(E55,'G-1 All Habitats'!$A$3:$A$134,0)),"")</f>
        <v/>
      </c>
      <c r="G55" s="53"/>
      <c r="H55" s="362" t="str">
        <f>IF(F55="","",VLOOKUP(F55,'G-1 All Habitats'!$B$2:$M$134,10,FALSE))</f>
        <v/>
      </c>
      <c r="I55" s="363" t="str">
        <f>IFERROR(VLOOKUP(H55,'G-1 All Habitats'!$V$3:$W$7,2,FALSE),"")</f>
        <v/>
      </c>
      <c r="J55" s="54"/>
      <c r="K55" s="363" t="str">
        <f>IFERROR(INDEX('G-8 Condition Look up'!$A$3:$H$135,MATCH(F55,'G-8 Condition Look up'!$A$3:$A$135,0),MATCH(J55,'G-8 Condition Look up'!$A$3:$H$3,0)),"")</f>
        <v/>
      </c>
      <c r="L55" s="54"/>
      <c r="M55" s="370" t="str">
        <f>IF(L55="","",IF(VLOOKUP(L55,'G-3 Multipliers'!$L$3:$N$6,2,FALSE)=0,"Spatial Data Missing",VLOOKUP(L55,'G-3 Multipliers'!$L$3:$N$6,2,FALSE)))</f>
        <v/>
      </c>
      <c r="N55" s="368" t="str">
        <f>IF(L55="","",IF(VLOOKUP(L55,'G-3 Multipliers'!$L$3:$N$6,3,FALSE)=0,"Spatial Data Missing",VLOOKUP(L55,'G-3 Multipliers'!$L$3:$N$6,3,FALSE)))</f>
        <v/>
      </c>
      <c r="O55" s="362" t="str">
        <f t="shared" si="1"/>
        <v/>
      </c>
      <c r="P55" s="63"/>
      <c r="Q55" s="63"/>
      <c r="R55" s="370" t="str">
        <f t="shared" si="2"/>
        <v/>
      </c>
      <c r="S55" s="383" t="str">
        <f t="shared" si="3"/>
        <v/>
      </c>
      <c r="T55" s="384"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losses",P55&gt;=O55),"Low",VLOOKUP(F55,'G-3 Multipliers'!$A$2:$E$134,4,FALSE))))</f>
        <v/>
      </c>
      <c r="X55" s="386" t="str">
        <f>IFERROR(IF(E55="","",VLOOKUP(W55, 'G-3 Multipliers'!$P$2:$Q$6,2,FALSE)),"")</f>
        <v/>
      </c>
      <c r="Y55" s="390" t="str">
        <f t="shared" si="4"/>
        <v/>
      </c>
      <c r="Z55" s="194"/>
      <c r="AA55" s="195"/>
      <c r="AB55" s="120"/>
      <c r="AE55" s="40" t="str">
        <f t="shared" si="0"/>
        <v/>
      </c>
    </row>
    <row r="56" spans="1:31" x14ac:dyDescent="0.25">
      <c r="A56" s="35" t="str">
        <f>IFERROR(INDEX('G-8 Condition Look up'!$I$4:$I$135,MATCH(F56,'G-8 Condition Look up'!$A$4:$A$135,0)),"")</f>
        <v/>
      </c>
      <c r="C56" s="299" t="str">
        <f>IFERROR(INDEX('G-1 All Habitats'!$AG$3:$AG$17,MATCH(D56,'G-1 All Habitats'!$AF$3:$AF$17,0)),"")</f>
        <v/>
      </c>
      <c r="D56" s="54"/>
      <c r="E56" s="61"/>
      <c r="F56" s="296" t="str">
        <f>IFERROR(INDEX('G-1 All Habitats'!$B$3:$B$134,MATCH(E56,'G-1 All Habitats'!$A$3:$A$134,0)),"")</f>
        <v/>
      </c>
      <c r="G56" s="53"/>
      <c r="H56" s="362" t="str">
        <f>IF(F56="","",VLOOKUP(F56,'G-1 All Habitats'!$B$2:$M$134,10,FALSE))</f>
        <v/>
      </c>
      <c r="I56" s="363" t="str">
        <f>IFERROR(VLOOKUP(H56,'G-1 All Habitats'!$V$3:$W$7,2,FALSE),"")</f>
        <v/>
      </c>
      <c r="J56" s="54"/>
      <c r="K56" s="363" t="str">
        <f>IFERROR(INDEX('G-8 Condition Look up'!$A$3:$H$135,MATCH(F56,'G-8 Condition Look up'!$A$3:$A$135,0),MATCH(J56,'G-8 Condition Look up'!$A$3:$H$3,0)),"")</f>
        <v/>
      </c>
      <c r="L56" s="54"/>
      <c r="M56" s="370" t="str">
        <f>IF(L56="","",IF(VLOOKUP(L56,'G-3 Multipliers'!$L$3:$N$6,2,FALSE)=0,"Spatial Data Missing",VLOOKUP(L56,'G-3 Multipliers'!$L$3:$N$6,2,FALSE)))</f>
        <v/>
      </c>
      <c r="N56" s="368" t="str">
        <f>IF(L56="","",IF(VLOOKUP(L56,'G-3 Multipliers'!$L$3:$N$6,3,FALSE)=0,"Spatial Data Missing",VLOOKUP(L56,'G-3 Multipliers'!$L$3:$N$6,3,FALSE)))</f>
        <v/>
      </c>
      <c r="O56" s="362" t="str">
        <f t="shared" si="1"/>
        <v/>
      </c>
      <c r="P56" s="63"/>
      <c r="Q56" s="63"/>
      <c r="R56" s="370" t="str">
        <f t="shared" si="2"/>
        <v/>
      </c>
      <c r="S56" s="383" t="str">
        <f t="shared" si="3"/>
        <v/>
      </c>
      <c r="T56" s="384"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losses",P56&gt;=O56),"Low",VLOOKUP(F56,'G-3 Multipliers'!$A$2:$E$134,4,FALSE))))</f>
        <v/>
      </c>
      <c r="X56" s="386" t="str">
        <f>IFERROR(IF(E56="","",VLOOKUP(W56, 'G-3 Multipliers'!$P$2:$Q$6,2,FALSE)),"")</f>
        <v/>
      </c>
      <c r="Y56" s="390" t="str">
        <f t="shared" si="4"/>
        <v/>
      </c>
      <c r="Z56" s="194"/>
      <c r="AA56" s="195"/>
      <c r="AB56" s="120"/>
      <c r="AE56" s="40" t="str">
        <f t="shared" si="0"/>
        <v/>
      </c>
    </row>
    <row r="57" spans="1:31" x14ac:dyDescent="0.25">
      <c r="A57" s="35" t="str">
        <f>IFERROR(INDEX('G-8 Condition Look up'!$I$4:$I$135,MATCH(F57,'G-8 Condition Look up'!$A$4:$A$135,0)),"")</f>
        <v/>
      </c>
      <c r="C57" s="299" t="str">
        <f>IFERROR(INDEX('G-1 All Habitats'!$AG$3:$AG$17,MATCH(D57,'G-1 All Habitats'!$AF$3:$AF$17,0)),"")</f>
        <v/>
      </c>
      <c r="D57" s="54"/>
      <c r="E57" s="61"/>
      <c r="F57" s="296" t="str">
        <f>IFERROR(INDEX('G-1 All Habitats'!$B$3:$B$134,MATCH(E57,'G-1 All Habitats'!$A$3:$A$134,0)),"")</f>
        <v/>
      </c>
      <c r="G57" s="53"/>
      <c r="H57" s="362" t="str">
        <f>IF(F57="","",VLOOKUP(F57,'G-1 All Habitats'!$B$2:$M$134,10,FALSE))</f>
        <v/>
      </c>
      <c r="I57" s="363" t="str">
        <f>IFERROR(VLOOKUP(H57,'G-1 All Habitats'!$V$3:$W$7,2,FALSE),"")</f>
        <v/>
      </c>
      <c r="J57" s="54"/>
      <c r="K57" s="363" t="str">
        <f>IFERROR(INDEX('G-8 Condition Look up'!$A$3:$H$135,MATCH(F57,'G-8 Condition Look up'!$A$3:$A$135,0),MATCH(J57,'G-8 Condition Look up'!$A$3:$H$3,0)),"")</f>
        <v/>
      </c>
      <c r="L57" s="54"/>
      <c r="M57" s="370" t="str">
        <f>IF(L57="","",IF(VLOOKUP(L57,'G-3 Multipliers'!$L$3:$N$6,2,FALSE)=0,"Spatial Data Missing",VLOOKUP(L57,'G-3 Multipliers'!$L$3:$N$6,2,FALSE)))</f>
        <v/>
      </c>
      <c r="N57" s="368" t="str">
        <f>IF(L57="","",IF(VLOOKUP(L57,'G-3 Multipliers'!$L$3:$N$6,3,FALSE)=0,"Spatial Data Missing",VLOOKUP(L57,'G-3 Multipliers'!$L$3:$N$6,3,FALSE)))</f>
        <v/>
      </c>
      <c r="O57" s="362" t="str">
        <f t="shared" si="1"/>
        <v/>
      </c>
      <c r="P57" s="63"/>
      <c r="Q57" s="63"/>
      <c r="R57" s="370" t="str">
        <f t="shared" si="2"/>
        <v/>
      </c>
      <c r="S57" s="383" t="str">
        <f t="shared" si="3"/>
        <v/>
      </c>
      <c r="T57" s="384"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losses",P57&gt;=O57),"Low",VLOOKUP(F57,'G-3 Multipliers'!$A$2:$E$134,4,FALSE))))</f>
        <v/>
      </c>
      <c r="X57" s="386" t="str">
        <f>IFERROR(IF(E57="","",VLOOKUP(W57, 'G-3 Multipliers'!$P$2:$Q$6,2,FALSE)),"")</f>
        <v/>
      </c>
      <c r="Y57" s="390" t="str">
        <f t="shared" si="4"/>
        <v/>
      </c>
      <c r="Z57" s="194"/>
      <c r="AA57" s="195"/>
      <c r="AB57" s="120"/>
      <c r="AE57" s="40" t="str">
        <f t="shared" si="0"/>
        <v/>
      </c>
    </row>
    <row r="58" spans="1:31" x14ac:dyDescent="0.25">
      <c r="A58" s="35" t="str">
        <f>IFERROR(INDEX('G-8 Condition Look up'!$I$4:$I$135,MATCH(F58,'G-8 Condition Look up'!$A$4:$A$135,0)),"")</f>
        <v/>
      </c>
      <c r="C58" s="299" t="str">
        <f>IFERROR(INDEX('G-1 All Habitats'!$AG$3:$AG$17,MATCH(D58,'G-1 All Habitats'!$AF$3:$AF$17,0)),"")</f>
        <v/>
      </c>
      <c r="D58" s="54"/>
      <c r="E58" s="61"/>
      <c r="F58" s="296" t="str">
        <f>IFERROR(INDEX('G-1 All Habitats'!$B$3:$B$134,MATCH(E58,'G-1 All Habitats'!$A$3:$A$134,0)),"")</f>
        <v/>
      </c>
      <c r="G58" s="53"/>
      <c r="H58" s="362" t="str">
        <f>IF(F58="","",VLOOKUP(F58,'G-1 All Habitats'!$B$2:$M$134,10,FALSE))</f>
        <v/>
      </c>
      <c r="I58" s="363" t="str">
        <f>IFERROR(VLOOKUP(H58,'G-1 All Habitats'!$V$3:$W$7,2,FALSE),"")</f>
        <v/>
      </c>
      <c r="J58" s="54"/>
      <c r="K58" s="363" t="str">
        <f>IFERROR(INDEX('G-8 Condition Look up'!$A$3:$H$135,MATCH(F58,'G-8 Condition Look up'!$A$3:$A$135,0),MATCH(J58,'G-8 Condition Look up'!$A$3:$H$3,0)),"")</f>
        <v/>
      </c>
      <c r="L58" s="54"/>
      <c r="M58" s="370" t="str">
        <f>IF(L58="","",IF(VLOOKUP(L58,'G-3 Multipliers'!$L$3:$N$6,2,FALSE)=0,"Spatial Data Missing",VLOOKUP(L58,'G-3 Multipliers'!$L$3:$N$6,2,FALSE)))</f>
        <v/>
      </c>
      <c r="N58" s="368" t="str">
        <f>IF(L58="","",IF(VLOOKUP(L58,'G-3 Multipliers'!$L$3:$N$6,3,FALSE)=0,"Spatial Data Missing",VLOOKUP(L58,'G-3 Multipliers'!$L$3:$N$6,3,FALSE)))</f>
        <v/>
      </c>
      <c r="O58" s="362" t="str">
        <f t="shared" si="1"/>
        <v/>
      </c>
      <c r="P58" s="63"/>
      <c r="Q58" s="63"/>
      <c r="R58" s="370" t="str">
        <f t="shared" si="2"/>
        <v/>
      </c>
      <c r="S58" s="383" t="str">
        <f t="shared" si="3"/>
        <v/>
      </c>
      <c r="T58" s="384"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losses",P58&gt;=O58),"Low",VLOOKUP(F58,'G-3 Multipliers'!$A$2:$E$134,4,FALSE))))</f>
        <v/>
      </c>
      <c r="X58" s="386" t="str">
        <f>IFERROR(IF(E58="","",VLOOKUP(W58, 'G-3 Multipliers'!$P$2:$Q$6,2,FALSE)),"")</f>
        <v/>
      </c>
      <c r="Y58" s="390" t="str">
        <f t="shared" si="4"/>
        <v/>
      </c>
      <c r="Z58" s="194"/>
      <c r="AA58" s="195"/>
      <c r="AB58" s="120"/>
      <c r="AE58" s="40" t="str">
        <f t="shared" si="0"/>
        <v/>
      </c>
    </row>
    <row r="59" spans="1:31" x14ac:dyDescent="0.25">
      <c r="A59" s="35" t="str">
        <f>IFERROR(INDEX('G-8 Condition Look up'!$I$4:$I$135,MATCH(F59,'G-8 Condition Look up'!$A$4:$A$135,0)),"")</f>
        <v/>
      </c>
      <c r="C59" s="299" t="str">
        <f>IFERROR(INDEX('G-1 All Habitats'!$AG$3:$AG$17,MATCH(D59,'G-1 All Habitats'!$AF$3:$AF$17,0)),"")</f>
        <v/>
      </c>
      <c r="D59" s="54"/>
      <c r="E59" s="61"/>
      <c r="F59" s="296" t="str">
        <f>IFERROR(INDEX('G-1 All Habitats'!$B$3:$B$134,MATCH(E59,'G-1 All Habitats'!$A$3:$A$134,0)),"")</f>
        <v/>
      </c>
      <c r="G59" s="53"/>
      <c r="H59" s="362" t="str">
        <f>IF(F59="","",VLOOKUP(F59,'G-1 All Habitats'!$B$2:$M$134,10,FALSE))</f>
        <v/>
      </c>
      <c r="I59" s="363" t="str">
        <f>IFERROR(VLOOKUP(H59,'G-1 All Habitats'!$V$3:$W$7,2,FALSE),"")</f>
        <v/>
      </c>
      <c r="J59" s="54"/>
      <c r="K59" s="363" t="str">
        <f>IFERROR(INDEX('G-8 Condition Look up'!$A$3:$H$135,MATCH(F59,'G-8 Condition Look up'!$A$3:$A$135,0),MATCH(J59,'G-8 Condition Look up'!$A$3:$H$3,0)),"")</f>
        <v/>
      </c>
      <c r="L59" s="54"/>
      <c r="M59" s="370" t="str">
        <f>IF(L59="","",IF(VLOOKUP(L59,'G-3 Multipliers'!$L$3:$N$6,2,FALSE)=0,"Spatial Data Missing",VLOOKUP(L59,'G-3 Multipliers'!$L$3:$N$6,2,FALSE)))</f>
        <v/>
      </c>
      <c r="N59" s="368" t="str">
        <f>IF(L59="","",IF(VLOOKUP(L59,'G-3 Multipliers'!$L$3:$N$6,3,FALSE)=0,"Spatial Data Missing",VLOOKUP(L59,'G-3 Multipliers'!$L$3:$N$6,3,FALSE)))</f>
        <v/>
      </c>
      <c r="O59" s="362" t="str">
        <f t="shared" si="1"/>
        <v/>
      </c>
      <c r="P59" s="63"/>
      <c r="Q59" s="63"/>
      <c r="R59" s="370" t="str">
        <f t="shared" si="2"/>
        <v/>
      </c>
      <c r="S59" s="383" t="str">
        <f t="shared" si="3"/>
        <v/>
      </c>
      <c r="T59" s="384"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losses",P59&gt;=O59),"Low",VLOOKUP(F59,'G-3 Multipliers'!$A$2:$E$134,4,FALSE))))</f>
        <v/>
      </c>
      <c r="X59" s="386" t="str">
        <f>IFERROR(IF(E59="","",VLOOKUP(W59, 'G-3 Multipliers'!$P$2:$Q$6,2,FALSE)),"")</f>
        <v/>
      </c>
      <c r="Y59" s="390" t="str">
        <f t="shared" si="4"/>
        <v/>
      </c>
      <c r="Z59" s="194"/>
      <c r="AA59" s="195"/>
      <c r="AB59" s="120"/>
      <c r="AE59" s="40" t="str">
        <f t="shared" si="0"/>
        <v/>
      </c>
    </row>
    <row r="60" spans="1:31" x14ac:dyDescent="0.25">
      <c r="A60" s="35" t="str">
        <f>IFERROR(INDEX('G-8 Condition Look up'!$I$4:$I$135,MATCH(F60,'G-8 Condition Look up'!$A$4:$A$135,0)),"")</f>
        <v/>
      </c>
      <c r="C60" s="299" t="str">
        <f>IFERROR(INDEX('G-1 All Habitats'!$AG$3:$AG$17,MATCH(D60,'G-1 All Habitats'!$AF$3:$AF$17,0)),"")</f>
        <v/>
      </c>
      <c r="D60" s="54"/>
      <c r="E60" s="61"/>
      <c r="F60" s="296" t="str">
        <f>IFERROR(INDEX('G-1 All Habitats'!$B$3:$B$134,MATCH(E60,'G-1 All Habitats'!$A$3:$A$134,0)),"")</f>
        <v/>
      </c>
      <c r="G60" s="53"/>
      <c r="H60" s="362" t="str">
        <f>IF(F60="","",VLOOKUP(F60,'G-1 All Habitats'!$B$2:$M$134,10,FALSE))</f>
        <v/>
      </c>
      <c r="I60" s="363" t="str">
        <f>IFERROR(VLOOKUP(H60,'G-1 All Habitats'!$V$3:$W$7,2,FALSE),"")</f>
        <v/>
      </c>
      <c r="J60" s="54"/>
      <c r="K60" s="363" t="str">
        <f>IFERROR(INDEX('G-8 Condition Look up'!$A$3:$H$135,MATCH(F60,'G-8 Condition Look up'!$A$3:$A$135,0),MATCH(J60,'G-8 Condition Look up'!$A$3:$H$3,0)),"")</f>
        <v/>
      </c>
      <c r="L60" s="54"/>
      <c r="M60" s="370" t="str">
        <f>IF(L60="","",IF(VLOOKUP(L60,'G-3 Multipliers'!$L$3:$N$6,2,FALSE)=0,"Spatial Data Missing",VLOOKUP(L60,'G-3 Multipliers'!$L$3:$N$6,2,FALSE)))</f>
        <v/>
      </c>
      <c r="N60" s="368" t="str">
        <f>IF(L60="","",IF(VLOOKUP(L60,'G-3 Multipliers'!$L$3:$N$6,3,FALSE)=0,"Spatial Data Missing",VLOOKUP(L60,'G-3 Multipliers'!$L$3:$N$6,3,FALSE)))</f>
        <v/>
      </c>
      <c r="O60" s="362" t="str">
        <f t="shared" si="1"/>
        <v/>
      </c>
      <c r="P60" s="63"/>
      <c r="Q60" s="63"/>
      <c r="R60" s="370" t="str">
        <f t="shared" si="2"/>
        <v/>
      </c>
      <c r="S60" s="383" t="str">
        <f t="shared" si="3"/>
        <v/>
      </c>
      <c r="T60" s="384"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losses",P60&gt;=O60),"Low",VLOOKUP(F60,'G-3 Multipliers'!$A$2:$E$134,4,FALSE))))</f>
        <v/>
      </c>
      <c r="X60" s="386" t="str">
        <f>IFERROR(IF(E60="","",VLOOKUP(W60, 'G-3 Multipliers'!$P$2:$Q$6,2,FALSE)),"")</f>
        <v/>
      </c>
      <c r="Y60" s="390" t="str">
        <f t="shared" si="4"/>
        <v/>
      </c>
      <c r="Z60" s="194"/>
      <c r="AA60" s="195"/>
      <c r="AB60" s="120"/>
      <c r="AE60" s="40" t="str">
        <f t="shared" si="0"/>
        <v/>
      </c>
    </row>
    <row r="61" spans="1:31" x14ac:dyDescent="0.25">
      <c r="A61" s="35" t="str">
        <f>IFERROR(INDEX('G-8 Condition Look up'!$I$4:$I$135,MATCH(F61,'G-8 Condition Look up'!$A$4:$A$135,0)),"")</f>
        <v/>
      </c>
      <c r="C61" s="299" t="str">
        <f>IFERROR(INDEX('G-1 All Habitats'!$AG$3:$AG$17,MATCH(D61,'G-1 All Habitats'!$AF$3:$AF$17,0)),"")</f>
        <v/>
      </c>
      <c r="D61" s="54"/>
      <c r="E61" s="61"/>
      <c r="F61" s="296" t="str">
        <f>IFERROR(INDEX('G-1 All Habitats'!$B$3:$B$134,MATCH(E61,'G-1 All Habitats'!$A$3:$A$134,0)),"")</f>
        <v/>
      </c>
      <c r="G61" s="53"/>
      <c r="H61" s="362" t="str">
        <f>IF(F61="","",VLOOKUP(F61,'G-1 All Habitats'!$B$2:$M$134,10,FALSE))</f>
        <v/>
      </c>
      <c r="I61" s="363" t="str">
        <f>IFERROR(VLOOKUP(H61,'G-1 All Habitats'!$V$3:$W$7,2,FALSE),"")</f>
        <v/>
      </c>
      <c r="J61" s="54"/>
      <c r="K61" s="363" t="str">
        <f>IFERROR(INDEX('G-8 Condition Look up'!$A$3:$H$135,MATCH(F61,'G-8 Condition Look up'!$A$3:$A$135,0),MATCH(J61,'G-8 Condition Look up'!$A$3:$H$3,0)),"")</f>
        <v/>
      </c>
      <c r="L61" s="54"/>
      <c r="M61" s="370" t="str">
        <f>IF(L61="","",IF(VLOOKUP(L61,'G-3 Multipliers'!$L$3:$N$6,2,FALSE)=0,"Spatial Data Missing",VLOOKUP(L61,'G-3 Multipliers'!$L$3:$N$6,2,FALSE)))</f>
        <v/>
      </c>
      <c r="N61" s="368" t="str">
        <f>IF(L61="","",IF(VLOOKUP(L61,'G-3 Multipliers'!$L$3:$N$6,3,FALSE)=0,"Spatial Data Missing",VLOOKUP(L61,'G-3 Multipliers'!$L$3:$N$6,3,FALSE)))</f>
        <v/>
      </c>
      <c r="O61" s="362" t="str">
        <f t="shared" si="1"/>
        <v/>
      </c>
      <c r="P61" s="63"/>
      <c r="Q61" s="63"/>
      <c r="R61" s="370" t="str">
        <f t="shared" si="2"/>
        <v/>
      </c>
      <c r="S61" s="383" t="str">
        <f t="shared" si="3"/>
        <v/>
      </c>
      <c r="T61" s="384"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losses",P61&gt;=O61),"Low",VLOOKUP(F61,'G-3 Multipliers'!$A$2:$E$134,4,FALSE))))</f>
        <v/>
      </c>
      <c r="X61" s="386" t="str">
        <f>IFERROR(IF(E61="","",VLOOKUP(W61, 'G-3 Multipliers'!$P$2:$Q$6,2,FALSE)),"")</f>
        <v/>
      </c>
      <c r="Y61" s="390" t="str">
        <f t="shared" si="4"/>
        <v/>
      </c>
      <c r="Z61" s="194"/>
      <c r="AA61" s="195"/>
      <c r="AB61" s="120"/>
      <c r="AE61" s="40" t="str">
        <f t="shared" si="0"/>
        <v/>
      </c>
    </row>
    <row r="62" spans="1:31" x14ac:dyDescent="0.25">
      <c r="A62" s="35" t="str">
        <f>IFERROR(INDEX('G-8 Condition Look up'!$I$4:$I$135,MATCH(F62,'G-8 Condition Look up'!$A$4:$A$135,0)),"")</f>
        <v/>
      </c>
      <c r="C62" s="299" t="str">
        <f>IFERROR(INDEX('G-1 All Habitats'!$AG$3:$AG$17,MATCH(D62,'G-1 All Habitats'!$AF$3:$AF$17,0)),"")</f>
        <v/>
      </c>
      <c r="D62" s="54"/>
      <c r="E62" s="61"/>
      <c r="F62" s="296" t="str">
        <f>IFERROR(INDEX('G-1 All Habitats'!$B$3:$B$134,MATCH(E62,'G-1 All Habitats'!$A$3:$A$134,0)),"")</f>
        <v/>
      </c>
      <c r="G62" s="53"/>
      <c r="H62" s="362" t="str">
        <f>IF(F62="","",VLOOKUP(F62,'G-1 All Habitats'!$B$2:$M$134,10,FALSE))</f>
        <v/>
      </c>
      <c r="I62" s="363" t="str">
        <f>IFERROR(VLOOKUP(H62,'G-1 All Habitats'!$V$3:$W$7,2,FALSE),"")</f>
        <v/>
      </c>
      <c r="J62" s="54"/>
      <c r="K62" s="363" t="str">
        <f>IFERROR(INDEX('G-8 Condition Look up'!$A$3:$H$135,MATCH(F62,'G-8 Condition Look up'!$A$3:$A$135,0),MATCH(J62,'G-8 Condition Look up'!$A$3:$H$3,0)),"")</f>
        <v/>
      </c>
      <c r="L62" s="54"/>
      <c r="M62" s="370" t="str">
        <f>IF(L62="","",IF(VLOOKUP(L62,'G-3 Multipliers'!$L$3:$N$6,2,FALSE)=0,"Spatial Data Missing",VLOOKUP(L62,'G-3 Multipliers'!$L$3:$N$6,2,FALSE)))</f>
        <v/>
      </c>
      <c r="N62" s="368" t="str">
        <f>IF(L62="","",IF(VLOOKUP(L62,'G-3 Multipliers'!$L$3:$N$6,3,FALSE)=0,"Spatial Data Missing",VLOOKUP(L62,'G-3 Multipliers'!$L$3:$N$6,3,FALSE)))</f>
        <v/>
      </c>
      <c r="O62" s="362" t="str">
        <f t="shared" si="1"/>
        <v/>
      </c>
      <c r="P62" s="63"/>
      <c r="Q62" s="63"/>
      <c r="R62" s="370" t="str">
        <f t="shared" si="2"/>
        <v/>
      </c>
      <c r="S62" s="383" t="str">
        <f t="shared" si="3"/>
        <v/>
      </c>
      <c r="T62" s="384"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losses",P62&gt;=O62),"Low",VLOOKUP(F62,'G-3 Multipliers'!$A$2:$E$134,4,FALSE))))</f>
        <v/>
      </c>
      <c r="X62" s="386" t="str">
        <f>IFERROR(IF(E62="","",VLOOKUP(W62, 'G-3 Multipliers'!$P$2:$Q$6,2,FALSE)),"")</f>
        <v/>
      </c>
      <c r="Y62" s="390" t="str">
        <f t="shared" si="4"/>
        <v/>
      </c>
      <c r="Z62" s="194"/>
      <c r="AA62" s="195"/>
      <c r="AB62" s="120"/>
      <c r="AE62" s="40" t="str">
        <f t="shared" si="0"/>
        <v/>
      </c>
    </row>
    <row r="63" spans="1:31" x14ac:dyDescent="0.25">
      <c r="A63" s="35" t="str">
        <f>IFERROR(INDEX('G-8 Condition Look up'!$I$4:$I$135,MATCH(F63,'G-8 Condition Look up'!$A$4:$A$135,0)),"")</f>
        <v/>
      </c>
      <c r="C63" s="299" t="str">
        <f>IFERROR(INDEX('G-1 All Habitats'!$AG$3:$AG$17,MATCH(D63,'G-1 All Habitats'!$AF$3:$AF$17,0)),"")</f>
        <v/>
      </c>
      <c r="D63" s="54"/>
      <c r="E63" s="61"/>
      <c r="F63" s="296" t="str">
        <f>IFERROR(INDEX('G-1 All Habitats'!$B$3:$B$134,MATCH(E63,'G-1 All Habitats'!$A$3:$A$134,0)),"")</f>
        <v/>
      </c>
      <c r="G63" s="53"/>
      <c r="H63" s="362" t="str">
        <f>IF(F63="","",VLOOKUP(F63,'G-1 All Habitats'!$B$2:$M$134,10,FALSE))</f>
        <v/>
      </c>
      <c r="I63" s="363" t="str">
        <f>IFERROR(VLOOKUP(H63,'G-1 All Habitats'!$V$3:$W$7,2,FALSE),"")</f>
        <v/>
      </c>
      <c r="J63" s="54"/>
      <c r="K63" s="363" t="str">
        <f>IFERROR(INDEX('G-8 Condition Look up'!$A$3:$H$135,MATCH(F63,'G-8 Condition Look up'!$A$3:$A$135,0),MATCH(J63,'G-8 Condition Look up'!$A$3:$H$3,0)),"")</f>
        <v/>
      </c>
      <c r="L63" s="54"/>
      <c r="M63" s="370" t="str">
        <f>IF(L63="","",IF(VLOOKUP(L63,'G-3 Multipliers'!$L$3:$N$6,2,FALSE)=0,"Spatial Data Missing",VLOOKUP(L63,'G-3 Multipliers'!$L$3:$N$6,2,FALSE)))</f>
        <v/>
      </c>
      <c r="N63" s="368" t="str">
        <f>IF(L63="","",IF(VLOOKUP(L63,'G-3 Multipliers'!$L$3:$N$6,3,FALSE)=0,"Spatial Data Missing",VLOOKUP(L63,'G-3 Multipliers'!$L$3:$N$6,3,FALSE)))</f>
        <v/>
      </c>
      <c r="O63" s="362" t="str">
        <f t="shared" si="1"/>
        <v/>
      </c>
      <c r="P63" s="63"/>
      <c r="Q63" s="63"/>
      <c r="R63" s="370" t="str">
        <f t="shared" si="2"/>
        <v/>
      </c>
      <c r="S63" s="383" t="str">
        <f t="shared" si="3"/>
        <v/>
      </c>
      <c r="T63" s="384"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losses",P63&gt;=O63),"Low",VLOOKUP(F63,'G-3 Multipliers'!$A$2:$E$134,4,FALSE))))</f>
        <v/>
      </c>
      <c r="X63" s="386" t="str">
        <f>IFERROR(IF(E63="","",VLOOKUP(W63, 'G-3 Multipliers'!$P$2:$Q$6,2,FALSE)),"")</f>
        <v/>
      </c>
      <c r="Y63" s="390" t="str">
        <f t="shared" si="4"/>
        <v/>
      </c>
      <c r="Z63" s="194"/>
      <c r="AA63" s="195"/>
      <c r="AB63" s="120"/>
      <c r="AE63" s="40" t="str">
        <f t="shared" si="0"/>
        <v/>
      </c>
    </row>
    <row r="64" spans="1:31" x14ac:dyDescent="0.25">
      <c r="A64" s="35" t="str">
        <f>IFERROR(INDEX('G-8 Condition Look up'!$I$4:$I$135,MATCH(F64,'G-8 Condition Look up'!$A$4:$A$135,0)),"")</f>
        <v/>
      </c>
      <c r="C64" s="299" t="str">
        <f>IFERROR(INDEX('G-1 All Habitats'!$AG$3:$AG$17,MATCH(D64,'G-1 All Habitats'!$AF$3:$AF$17,0)),"")</f>
        <v/>
      </c>
      <c r="D64" s="54"/>
      <c r="E64" s="61"/>
      <c r="F64" s="296" t="str">
        <f>IFERROR(INDEX('G-1 All Habitats'!$B$3:$B$134,MATCH(E64,'G-1 All Habitats'!$A$3:$A$134,0)),"")</f>
        <v/>
      </c>
      <c r="G64" s="53"/>
      <c r="H64" s="362" t="str">
        <f>IF(F64="","",VLOOKUP(F64,'G-1 All Habitats'!$B$2:$M$134,10,FALSE))</f>
        <v/>
      </c>
      <c r="I64" s="363" t="str">
        <f>IFERROR(VLOOKUP(H64,'G-1 All Habitats'!$V$3:$W$7,2,FALSE),"")</f>
        <v/>
      </c>
      <c r="J64" s="54"/>
      <c r="K64" s="363" t="str">
        <f>IFERROR(INDEX('G-8 Condition Look up'!$A$3:$H$135,MATCH(F64,'G-8 Condition Look up'!$A$3:$A$135,0),MATCH(J64,'G-8 Condition Look up'!$A$3:$H$3,0)),"")</f>
        <v/>
      </c>
      <c r="L64" s="54"/>
      <c r="M64" s="370" t="str">
        <f>IF(L64="","",IF(VLOOKUP(L64,'G-3 Multipliers'!$L$3:$N$6,2,FALSE)=0,"Spatial Data Missing",VLOOKUP(L64,'G-3 Multipliers'!$L$3:$N$6,2,FALSE)))</f>
        <v/>
      </c>
      <c r="N64" s="368" t="str">
        <f>IF(L64="","",IF(VLOOKUP(L64,'G-3 Multipliers'!$L$3:$N$6,3,FALSE)=0,"Spatial Data Missing",VLOOKUP(L64,'G-3 Multipliers'!$L$3:$N$6,3,FALSE)))</f>
        <v/>
      </c>
      <c r="O64" s="362" t="str">
        <f t="shared" si="1"/>
        <v/>
      </c>
      <c r="P64" s="63"/>
      <c r="Q64" s="63"/>
      <c r="R64" s="370" t="str">
        <f t="shared" si="2"/>
        <v/>
      </c>
      <c r="S64" s="383" t="str">
        <f t="shared" si="3"/>
        <v/>
      </c>
      <c r="T64" s="384"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losses",P64&gt;=O64),"Low",VLOOKUP(F64,'G-3 Multipliers'!$A$2:$E$134,4,FALSE))))</f>
        <v/>
      </c>
      <c r="X64" s="386" t="str">
        <f>IFERROR(IF(E64="","",VLOOKUP(W64, 'G-3 Multipliers'!$P$2:$Q$6,2,FALSE)),"")</f>
        <v/>
      </c>
      <c r="Y64" s="390" t="str">
        <f t="shared" si="4"/>
        <v/>
      </c>
      <c r="Z64" s="194"/>
      <c r="AA64" s="195"/>
      <c r="AB64" s="120"/>
      <c r="AE64" s="40" t="str">
        <f t="shared" si="0"/>
        <v/>
      </c>
    </row>
    <row r="65" spans="1:31" x14ac:dyDescent="0.25">
      <c r="A65" s="35" t="str">
        <f>IFERROR(INDEX('G-8 Condition Look up'!$I$4:$I$135,MATCH(F65,'G-8 Condition Look up'!$A$4:$A$135,0)),"")</f>
        <v/>
      </c>
      <c r="C65" s="299" t="str">
        <f>IFERROR(INDEX('G-1 All Habitats'!$AG$3:$AG$17,MATCH(D65,'G-1 All Habitats'!$AF$3:$AF$17,0)),"")</f>
        <v/>
      </c>
      <c r="D65" s="54"/>
      <c r="E65" s="61"/>
      <c r="F65" s="296" t="str">
        <f>IFERROR(INDEX('G-1 All Habitats'!$B$3:$B$134,MATCH(E65,'G-1 All Habitats'!$A$3:$A$134,0)),"")</f>
        <v/>
      </c>
      <c r="G65" s="53"/>
      <c r="H65" s="362" t="str">
        <f>IF(F65="","",VLOOKUP(F65,'G-1 All Habitats'!$B$2:$M$134,10,FALSE))</f>
        <v/>
      </c>
      <c r="I65" s="363" t="str">
        <f>IFERROR(VLOOKUP(H65,'G-1 All Habitats'!$V$3:$W$7,2,FALSE),"")</f>
        <v/>
      </c>
      <c r="J65" s="54"/>
      <c r="K65" s="363" t="str">
        <f>IFERROR(INDEX('G-8 Condition Look up'!$A$3:$H$135,MATCH(F65,'G-8 Condition Look up'!$A$3:$A$135,0),MATCH(J65,'G-8 Condition Look up'!$A$3:$H$3,0)),"")</f>
        <v/>
      </c>
      <c r="L65" s="54"/>
      <c r="M65" s="370" t="str">
        <f>IF(L65="","",IF(VLOOKUP(L65,'G-3 Multipliers'!$L$3:$N$6,2,FALSE)=0,"Spatial Data Missing",VLOOKUP(L65,'G-3 Multipliers'!$L$3:$N$6,2,FALSE)))</f>
        <v/>
      </c>
      <c r="N65" s="368" t="str">
        <f>IF(L65="","",IF(VLOOKUP(L65,'G-3 Multipliers'!$L$3:$N$6,3,FALSE)=0,"Spatial Data Missing",VLOOKUP(L65,'G-3 Multipliers'!$L$3:$N$6,3,FALSE)))</f>
        <v/>
      </c>
      <c r="O65" s="362" t="str">
        <f t="shared" si="1"/>
        <v/>
      </c>
      <c r="P65" s="63"/>
      <c r="Q65" s="63"/>
      <c r="R65" s="370" t="str">
        <f t="shared" si="2"/>
        <v/>
      </c>
      <c r="S65" s="383" t="str">
        <f t="shared" si="3"/>
        <v/>
      </c>
      <c r="T65" s="384"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losses",P65&gt;=O65),"Low",VLOOKUP(F65,'G-3 Multipliers'!$A$2:$E$134,4,FALSE))))</f>
        <v/>
      </c>
      <c r="X65" s="386" t="str">
        <f>IFERROR(IF(E65="","",VLOOKUP(W65, 'G-3 Multipliers'!$P$2:$Q$6,2,FALSE)),"")</f>
        <v/>
      </c>
      <c r="Y65" s="390" t="str">
        <f t="shared" si="4"/>
        <v/>
      </c>
      <c r="Z65" s="194"/>
      <c r="AA65" s="195"/>
      <c r="AB65" s="120"/>
      <c r="AE65" s="40" t="str">
        <f t="shared" si="0"/>
        <v/>
      </c>
    </row>
    <row r="66" spans="1:31" x14ac:dyDescent="0.25">
      <c r="A66" s="35" t="str">
        <f>IFERROR(INDEX('G-8 Condition Look up'!$I$4:$I$135,MATCH(F66,'G-8 Condition Look up'!$A$4:$A$135,0)),"")</f>
        <v/>
      </c>
      <c r="C66" s="299" t="str">
        <f>IFERROR(INDEX('G-1 All Habitats'!$AG$3:$AG$17,MATCH(D66,'G-1 All Habitats'!$AF$3:$AF$17,0)),"")</f>
        <v/>
      </c>
      <c r="D66" s="54"/>
      <c r="E66" s="61"/>
      <c r="F66" s="296" t="str">
        <f>IFERROR(INDEX('G-1 All Habitats'!$B$3:$B$134,MATCH(E66,'G-1 All Habitats'!$A$3:$A$134,0)),"")</f>
        <v/>
      </c>
      <c r="G66" s="53"/>
      <c r="H66" s="362" t="str">
        <f>IF(F66="","",VLOOKUP(F66,'G-1 All Habitats'!$B$2:$M$134,10,FALSE))</f>
        <v/>
      </c>
      <c r="I66" s="363" t="str">
        <f>IFERROR(VLOOKUP(H66,'G-1 All Habitats'!$V$3:$W$7,2,FALSE),"")</f>
        <v/>
      </c>
      <c r="J66" s="54"/>
      <c r="K66" s="363" t="str">
        <f>IFERROR(INDEX('G-8 Condition Look up'!$A$3:$H$135,MATCH(F66,'G-8 Condition Look up'!$A$3:$A$135,0),MATCH(J66,'G-8 Condition Look up'!$A$3:$H$3,0)),"")</f>
        <v/>
      </c>
      <c r="L66" s="54"/>
      <c r="M66" s="370" t="str">
        <f>IF(L66="","",IF(VLOOKUP(L66,'G-3 Multipliers'!$L$3:$N$6,2,FALSE)=0,"Spatial Data Missing",VLOOKUP(L66,'G-3 Multipliers'!$L$3:$N$6,2,FALSE)))</f>
        <v/>
      </c>
      <c r="N66" s="368" t="str">
        <f>IF(L66="","",IF(VLOOKUP(L66,'G-3 Multipliers'!$L$3:$N$6,3,FALSE)=0,"Spatial Data Missing",VLOOKUP(L66,'G-3 Multipliers'!$L$3:$N$6,3,FALSE)))</f>
        <v/>
      </c>
      <c r="O66" s="362" t="str">
        <f t="shared" si="1"/>
        <v/>
      </c>
      <c r="P66" s="63"/>
      <c r="Q66" s="63"/>
      <c r="R66" s="370" t="str">
        <f t="shared" si="2"/>
        <v/>
      </c>
      <c r="S66" s="383" t="str">
        <f t="shared" si="3"/>
        <v/>
      </c>
      <c r="T66" s="384"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losses",P66&gt;=O66),"Low",VLOOKUP(F66,'G-3 Multipliers'!$A$2:$E$134,4,FALSE))))</f>
        <v/>
      </c>
      <c r="X66" s="386" t="str">
        <f>IFERROR(IF(E66="","",VLOOKUP(W66, 'G-3 Multipliers'!$P$2:$Q$6,2,FALSE)),"")</f>
        <v/>
      </c>
      <c r="Y66" s="390" t="str">
        <f t="shared" si="4"/>
        <v/>
      </c>
      <c r="Z66" s="194"/>
      <c r="AA66" s="195"/>
      <c r="AB66" s="120"/>
      <c r="AE66" s="40" t="str">
        <f t="shared" si="0"/>
        <v/>
      </c>
    </row>
    <row r="67" spans="1:31" x14ac:dyDescent="0.25">
      <c r="A67" s="35" t="str">
        <f>IFERROR(INDEX('G-8 Condition Look up'!$I$4:$I$135,MATCH(F67,'G-8 Condition Look up'!$A$4:$A$135,0)),"")</f>
        <v/>
      </c>
      <c r="C67" s="299" t="str">
        <f>IFERROR(INDEX('G-1 All Habitats'!$AG$3:$AG$17,MATCH(D67,'G-1 All Habitats'!$AF$3:$AF$17,0)),"")</f>
        <v/>
      </c>
      <c r="D67" s="54"/>
      <c r="E67" s="61"/>
      <c r="F67" s="296" t="str">
        <f>IFERROR(INDEX('G-1 All Habitats'!$B$3:$B$134,MATCH(E67,'G-1 All Habitats'!$A$3:$A$134,0)),"")</f>
        <v/>
      </c>
      <c r="G67" s="53"/>
      <c r="H67" s="362" t="str">
        <f>IF(F67="","",VLOOKUP(F67,'G-1 All Habitats'!$B$2:$M$134,10,FALSE))</f>
        <v/>
      </c>
      <c r="I67" s="363" t="str">
        <f>IFERROR(VLOOKUP(H67,'G-1 All Habitats'!$V$3:$W$7,2,FALSE),"")</f>
        <v/>
      </c>
      <c r="J67" s="54"/>
      <c r="K67" s="363" t="str">
        <f>IFERROR(INDEX('G-8 Condition Look up'!$A$3:$H$135,MATCH(F67,'G-8 Condition Look up'!$A$3:$A$135,0),MATCH(J67,'G-8 Condition Look up'!$A$3:$H$3,0)),"")</f>
        <v/>
      </c>
      <c r="L67" s="54"/>
      <c r="M67" s="370" t="str">
        <f>IF(L67="","",IF(VLOOKUP(L67,'G-3 Multipliers'!$L$3:$N$6,2,FALSE)=0,"Spatial Data Missing",VLOOKUP(L67,'G-3 Multipliers'!$L$3:$N$6,2,FALSE)))</f>
        <v/>
      </c>
      <c r="N67" s="368" t="str">
        <f>IF(L67="","",IF(VLOOKUP(L67,'G-3 Multipliers'!$L$3:$N$6,3,FALSE)=0,"Spatial Data Missing",VLOOKUP(L67,'G-3 Multipliers'!$L$3:$N$6,3,FALSE)))</f>
        <v/>
      </c>
      <c r="O67" s="362" t="str">
        <f t="shared" si="1"/>
        <v/>
      </c>
      <c r="P67" s="63"/>
      <c r="Q67" s="63"/>
      <c r="R67" s="370" t="str">
        <f t="shared" si="2"/>
        <v/>
      </c>
      <c r="S67" s="383" t="str">
        <f t="shared" si="3"/>
        <v/>
      </c>
      <c r="T67" s="384"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losses",P67&gt;=O67),"Low",VLOOKUP(F67,'G-3 Multipliers'!$A$2:$E$134,4,FALSE))))</f>
        <v/>
      </c>
      <c r="X67" s="386" t="str">
        <f>IFERROR(IF(E67="","",VLOOKUP(W67, 'G-3 Multipliers'!$P$2:$Q$6,2,FALSE)),"")</f>
        <v/>
      </c>
      <c r="Y67" s="390" t="str">
        <f t="shared" si="4"/>
        <v/>
      </c>
      <c r="Z67" s="194"/>
      <c r="AA67" s="195"/>
      <c r="AB67" s="120"/>
      <c r="AE67" s="40" t="str">
        <f t="shared" si="0"/>
        <v/>
      </c>
    </row>
    <row r="68" spans="1:31" x14ac:dyDescent="0.25">
      <c r="A68" s="35" t="str">
        <f>IFERROR(INDEX('G-8 Condition Look up'!$I$4:$I$135,MATCH(F68,'G-8 Condition Look up'!$A$4:$A$135,0)),"")</f>
        <v/>
      </c>
      <c r="C68" s="299" t="str">
        <f>IFERROR(INDEX('G-1 All Habitats'!$AG$3:$AG$17,MATCH(D68,'G-1 All Habitats'!$AF$3:$AF$17,0)),"")</f>
        <v/>
      </c>
      <c r="D68" s="54"/>
      <c r="E68" s="61"/>
      <c r="F68" s="296" t="str">
        <f>IFERROR(INDEX('G-1 All Habitats'!$B$3:$B$134,MATCH(E68,'G-1 All Habitats'!$A$3:$A$134,0)),"")</f>
        <v/>
      </c>
      <c r="G68" s="53"/>
      <c r="H68" s="362" t="str">
        <f>IF(F68="","",VLOOKUP(F68,'G-1 All Habitats'!$B$2:$M$134,10,FALSE))</f>
        <v/>
      </c>
      <c r="I68" s="363" t="str">
        <f>IFERROR(VLOOKUP(H68,'G-1 All Habitats'!$V$3:$W$7,2,FALSE),"")</f>
        <v/>
      </c>
      <c r="J68" s="54"/>
      <c r="K68" s="363" t="str">
        <f>IFERROR(INDEX('G-8 Condition Look up'!$A$3:$H$135,MATCH(F68,'G-8 Condition Look up'!$A$3:$A$135,0),MATCH(J68,'G-8 Condition Look up'!$A$3:$H$3,0)),"")</f>
        <v/>
      </c>
      <c r="L68" s="54"/>
      <c r="M68" s="370" t="str">
        <f>IF(L68="","",IF(VLOOKUP(L68,'G-3 Multipliers'!$L$3:$N$6,2,FALSE)=0,"Spatial Data Missing",VLOOKUP(L68,'G-3 Multipliers'!$L$3:$N$6,2,FALSE)))</f>
        <v/>
      </c>
      <c r="N68" s="368" t="str">
        <f>IF(L68="","",IF(VLOOKUP(L68,'G-3 Multipliers'!$L$3:$N$6,3,FALSE)=0,"Spatial Data Missing",VLOOKUP(L68,'G-3 Multipliers'!$L$3:$N$6,3,FALSE)))</f>
        <v/>
      </c>
      <c r="O68" s="362" t="str">
        <f t="shared" si="1"/>
        <v/>
      </c>
      <c r="P68" s="63"/>
      <c r="Q68" s="63"/>
      <c r="R68" s="370" t="str">
        <f t="shared" si="2"/>
        <v/>
      </c>
      <c r="S68" s="383" t="str">
        <f t="shared" si="3"/>
        <v/>
      </c>
      <c r="T68" s="384"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losses",P68&gt;=O68),"Low",VLOOKUP(F68,'G-3 Multipliers'!$A$2:$E$134,4,FALSE))))</f>
        <v/>
      </c>
      <c r="X68" s="386" t="str">
        <f>IFERROR(IF(E68="","",VLOOKUP(W68, 'G-3 Multipliers'!$P$2:$Q$6,2,FALSE)),"")</f>
        <v/>
      </c>
      <c r="Y68" s="390" t="str">
        <f t="shared" si="4"/>
        <v/>
      </c>
      <c r="Z68" s="194"/>
      <c r="AA68" s="195"/>
      <c r="AB68" s="120"/>
      <c r="AE68" s="40" t="str">
        <f t="shared" si="0"/>
        <v/>
      </c>
    </row>
    <row r="69" spans="1:31" x14ac:dyDescent="0.25">
      <c r="A69" s="35" t="str">
        <f>IFERROR(INDEX('G-8 Condition Look up'!$I$4:$I$135,MATCH(F69,'G-8 Condition Look up'!$A$4:$A$135,0)),"")</f>
        <v/>
      </c>
      <c r="C69" s="299" t="str">
        <f>IFERROR(INDEX('G-1 All Habitats'!$AG$3:$AG$17,MATCH(D69,'G-1 All Habitats'!$AF$3:$AF$17,0)),"")</f>
        <v/>
      </c>
      <c r="D69" s="54"/>
      <c r="E69" s="61"/>
      <c r="F69" s="296" t="str">
        <f>IFERROR(INDEX('G-1 All Habitats'!$B$3:$B$134,MATCH(E69,'G-1 All Habitats'!$A$3:$A$134,0)),"")</f>
        <v/>
      </c>
      <c r="G69" s="53"/>
      <c r="H69" s="362" t="str">
        <f>IF(F69="","",VLOOKUP(F69,'G-1 All Habitats'!$B$2:$M$134,10,FALSE))</f>
        <v/>
      </c>
      <c r="I69" s="363" t="str">
        <f>IFERROR(VLOOKUP(H69,'G-1 All Habitats'!$V$3:$W$7,2,FALSE),"")</f>
        <v/>
      </c>
      <c r="J69" s="54"/>
      <c r="K69" s="363" t="str">
        <f>IFERROR(INDEX('G-8 Condition Look up'!$A$3:$H$135,MATCH(F69,'G-8 Condition Look up'!$A$3:$A$135,0),MATCH(J69,'G-8 Condition Look up'!$A$3:$H$3,0)),"")</f>
        <v/>
      </c>
      <c r="L69" s="54"/>
      <c r="M69" s="370" t="str">
        <f>IF(L69="","",IF(VLOOKUP(L69,'G-3 Multipliers'!$L$3:$N$6,2,FALSE)=0,"Spatial Data Missing",VLOOKUP(L69,'G-3 Multipliers'!$L$3:$N$6,2,FALSE)))</f>
        <v/>
      </c>
      <c r="N69" s="368" t="str">
        <f>IF(L69="","",IF(VLOOKUP(L69,'G-3 Multipliers'!$L$3:$N$6,3,FALSE)=0,"Spatial Data Missing",VLOOKUP(L69,'G-3 Multipliers'!$L$3:$N$6,3,FALSE)))</f>
        <v/>
      </c>
      <c r="O69" s="362" t="str">
        <f t="shared" si="1"/>
        <v/>
      </c>
      <c r="P69" s="63"/>
      <c r="Q69" s="63"/>
      <c r="R69" s="370" t="str">
        <f t="shared" si="2"/>
        <v/>
      </c>
      <c r="S69" s="383" t="str">
        <f t="shared" si="3"/>
        <v/>
      </c>
      <c r="T69" s="384"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losses",P69&gt;=O69),"Low",VLOOKUP(F69,'G-3 Multipliers'!$A$2:$E$134,4,FALSE))))</f>
        <v/>
      </c>
      <c r="X69" s="386" t="str">
        <f>IFERROR(IF(E69="","",VLOOKUP(W69, 'G-3 Multipliers'!$P$2:$Q$6,2,FALSE)),"")</f>
        <v/>
      </c>
      <c r="Y69" s="390" t="str">
        <f t="shared" si="4"/>
        <v/>
      </c>
      <c r="Z69" s="194"/>
      <c r="AA69" s="195"/>
      <c r="AB69" s="120"/>
      <c r="AE69" s="40" t="str">
        <f t="shared" si="0"/>
        <v/>
      </c>
    </row>
    <row r="70" spans="1:31" x14ac:dyDescent="0.25">
      <c r="A70" s="35" t="str">
        <f>IFERROR(INDEX('G-8 Condition Look up'!$I$4:$I$135,MATCH(F70,'G-8 Condition Look up'!$A$4:$A$135,0)),"")</f>
        <v/>
      </c>
      <c r="C70" s="299" t="str">
        <f>IFERROR(INDEX('G-1 All Habitats'!$AG$3:$AG$17,MATCH(D70,'G-1 All Habitats'!$AF$3:$AF$17,0)),"")</f>
        <v/>
      </c>
      <c r="D70" s="54"/>
      <c r="E70" s="61"/>
      <c r="F70" s="296" t="str">
        <f>IFERROR(INDEX('G-1 All Habitats'!$B$3:$B$134,MATCH(E70,'G-1 All Habitats'!$A$3:$A$134,0)),"")</f>
        <v/>
      </c>
      <c r="G70" s="53"/>
      <c r="H70" s="362" t="str">
        <f>IF(F70="","",VLOOKUP(F70,'G-1 All Habitats'!$B$2:$M$134,10,FALSE))</f>
        <v/>
      </c>
      <c r="I70" s="363" t="str">
        <f>IFERROR(VLOOKUP(H70,'G-1 All Habitats'!$V$3:$W$7,2,FALSE),"")</f>
        <v/>
      </c>
      <c r="J70" s="54"/>
      <c r="K70" s="363" t="str">
        <f>IFERROR(INDEX('G-8 Condition Look up'!$A$3:$H$135,MATCH(F70,'G-8 Condition Look up'!$A$3:$A$135,0),MATCH(J70,'G-8 Condition Look up'!$A$3:$H$3,0)),"")</f>
        <v/>
      </c>
      <c r="L70" s="54"/>
      <c r="M70" s="370" t="str">
        <f>IF(L70="","",IF(VLOOKUP(L70,'G-3 Multipliers'!$L$3:$N$6,2,FALSE)=0,"Spatial Data Missing",VLOOKUP(L70,'G-3 Multipliers'!$L$3:$N$6,2,FALSE)))</f>
        <v/>
      </c>
      <c r="N70" s="368" t="str">
        <f>IF(L70="","",IF(VLOOKUP(L70,'G-3 Multipliers'!$L$3:$N$6,3,FALSE)=0,"Spatial Data Missing",VLOOKUP(L70,'G-3 Multipliers'!$L$3:$N$6,3,FALSE)))</f>
        <v/>
      </c>
      <c r="O70" s="362" t="str">
        <f t="shared" si="1"/>
        <v/>
      </c>
      <c r="P70" s="63"/>
      <c r="Q70" s="63"/>
      <c r="R70" s="370" t="str">
        <f t="shared" si="2"/>
        <v/>
      </c>
      <c r="S70" s="383" t="str">
        <f t="shared" si="3"/>
        <v/>
      </c>
      <c r="T70" s="384"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losses",P70&gt;=O70),"Low",VLOOKUP(F70,'G-3 Multipliers'!$A$2:$E$134,4,FALSE))))</f>
        <v/>
      </c>
      <c r="X70" s="386" t="str">
        <f>IFERROR(IF(E70="","",VLOOKUP(W70, 'G-3 Multipliers'!$P$2:$Q$6,2,FALSE)),"")</f>
        <v/>
      </c>
      <c r="Y70" s="390" t="str">
        <f t="shared" si="4"/>
        <v/>
      </c>
      <c r="Z70" s="194"/>
      <c r="AA70" s="195"/>
      <c r="AB70" s="120"/>
      <c r="AE70" s="40" t="str">
        <f t="shared" si="0"/>
        <v/>
      </c>
    </row>
    <row r="71" spans="1:31" x14ac:dyDescent="0.25">
      <c r="A71" s="35" t="str">
        <f>IFERROR(INDEX('G-8 Condition Look up'!$I$4:$I$135,MATCH(F71,'G-8 Condition Look up'!$A$4:$A$135,0)),"")</f>
        <v/>
      </c>
      <c r="C71" s="299" t="str">
        <f>IFERROR(INDEX('G-1 All Habitats'!$AG$3:$AG$17,MATCH(D71,'G-1 All Habitats'!$AF$3:$AF$17,0)),"")</f>
        <v/>
      </c>
      <c r="D71" s="54"/>
      <c r="E71" s="61"/>
      <c r="F71" s="296" t="str">
        <f>IFERROR(INDEX('G-1 All Habitats'!$B$3:$B$134,MATCH(E71,'G-1 All Habitats'!$A$3:$A$134,0)),"")</f>
        <v/>
      </c>
      <c r="G71" s="53"/>
      <c r="H71" s="362" t="str">
        <f>IF(F71="","",VLOOKUP(F71,'G-1 All Habitats'!$B$2:$M$134,10,FALSE))</f>
        <v/>
      </c>
      <c r="I71" s="363" t="str">
        <f>IFERROR(VLOOKUP(H71,'G-1 All Habitats'!$V$3:$W$7,2,FALSE),"")</f>
        <v/>
      </c>
      <c r="J71" s="54"/>
      <c r="K71" s="363" t="str">
        <f>IFERROR(INDEX('G-8 Condition Look up'!$A$3:$H$135,MATCH(F71,'G-8 Condition Look up'!$A$3:$A$135,0),MATCH(J71,'G-8 Condition Look up'!$A$3:$H$3,0)),"")</f>
        <v/>
      </c>
      <c r="L71" s="54"/>
      <c r="M71" s="370" t="str">
        <f>IF(L71="","",IF(VLOOKUP(L71,'G-3 Multipliers'!$L$3:$N$6,2,FALSE)=0,"Spatial Data Missing",VLOOKUP(L71,'G-3 Multipliers'!$L$3:$N$6,2,FALSE)))</f>
        <v/>
      </c>
      <c r="N71" s="368" t="str">
        <f>IF(L71="","",IF(VLOOKUP(L71,'G-3 Multipliers'!$L$3:$N$6,3,FALSE)=0,"Spatial Data Missing",VLOOKUP(L71,'G-3 Multipliers'!$L$3:$N$6,3,FALSE)))</f>
        <v/>
      </c>
      <c r="O71" s="362" t="str">
        <f t="shared" si="1"/>
        <v/>
      </c>
      <c r="P71" s="63"/>
      <c r="Q71" s="63"/>
      <c r="R71" s="370" t="str">
        <f t="shared" si="2"/>
        <v/>
      </c>
      <c r="S71" s="383" t="str">
        <f t="shared" si="3"/>
        <v/>
      </c>
      <c r="T71" s="384"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losses",P71&gt;=O71),"Low",VLOOKUP(F71,'G-3 Multipliers'!$A$2:$E$134,4,FALSE))))</f>
        <v/>
      </c>
      <c r="X71" s="386" t="str">
        <f>IFERROR(IF(E71="","",VLOOKUP(W71, 'G-3 Multipliers'!$P$2:$Q$6,2,FALSE)),"")</f>
        <v/>
      </c>
      <c r="Y71" s="390" t="str">
        <f t="shared" si="4"/>
        <v/>
      </c>
      <c r="Z71" s="194"/>
      <c r="AA71" s="195"/>
      <c r="AB71" s="120"/>
      <c r="AE71" s="40" t="str">
        <f t="shared" si="0"/>
        <v/>
      </c>
    </row>
    <row r="72" spans="1:31" x14ac:dyDescent="0.25">
      <c r="A72" s="35" t="str">
        <f>IFERROR(INDEX('G-8 Condition Look up'!$I$4:$I$135,MATCH(F72,'G-8 Condition Look up'!$A$4:$A$135,0)),"")</f>
        <v/>
      </c>
      <c r="C72" s="299" t="str">
        <f>IFERROR(INDEX('G-1 All Habitats'!$AG$3:$AG$17,MATCH(D72,'G-1 All Habitats'!$AF$3:$AF$17,0)),"")</f>
        <v/>
      </c>
      <c r="D72" s="54"/>
      <c r="E72" s="61"/>
      <c r="F72" s="296" t="str">
        <f>IFERROR(INDEX('G-1 All Habitats'!$B$3:$B$134,MATCH(E72,'G-1 All Habitats'!$A$3:$A$134,0)),"")</f>
        <v/>
      </c>
      <c r="G72" s="53"/>
      <c r="H72" s="362" t="str">
        <f>IF(F72="","",VLOOKUP(F72,'G-1 All Habitats'!$B$2:$M$134,10,FALSE))</f>
        <v/>
      </c>
      <c r="I72" s="363" t="str">
        <f>IFERROR(VLOOKUP(H72,'G-1 All Habitats'!$V$3:$W$7,2,FALSE),"")</f>
        <v/>
      </c>
      <c r="J72" s="54"/>
      <c r="K72" s="363" t="str">
        <f>IFERROR(INDEX('G-8 Condition Look up'!$A$3:$H$135,MATCH(F72,'G-8 Condition Look up'!$A$3:$A$135,0),MATCH(J72,'G-8 Condition Look up'!$A$3:$H$3,0)),"")</f>
        <v/>
      </c>
      <c r="L72" s="54"/>
      <c r="M72" s="370" t="str">
        <f>IF(L72="","",IF(VLOOKUP(L72,'G-3 Multipliers'!$L$3:$N$6,2,FALSE)=0,"Spatial Data Missing",VLOOKUP(L72,'G-3 Multipliers'!$L$3:$N$6,2,FALSE)))</f>
        <v/>
      </c>
      <c r="N72" s="368" t="str">
        <f>IF(L72="","",IF(VLOOKUP(L72,'G-3 Multipliers'!$L$3:$N$6,3,FALSE)=0,"Spatial Data Missing",VLOOKUP(L72,'G-3 Multipliers'!$L$3:$N$6,3,FALSE)))</f>
        <v/>
      </c>
      <c r="O72" s="362" t="str">
        <f t="shared" si="1"/>
        <v/>
      </c>
      <c r="P72" s="63"/>
      <c r="Q72" s="63"/>
      <c r="R72" s="370" t="str">
        <f t="shared" si="2"/>
        <v/>
      </c>
      <c r="S72" s="383" t="str">
        <f t="shared" si="3"/>
        <v/>
      </c>
      <c r="T72" s="384"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losses",P72&gt;=O72),"Low",VLOOKUP(F72,'G-3 Multipliers'!$A$2:$E$134,4,FALSE))))</f>
        <v/>
      </c>
      <c r="X72" s="386" t="str">
        <f>IFERROR(IF(E72="","",VLOOKUP(W72, 'G-3 Multipliers'!$P$2:$Q$6,2,FALSE)),"")</f>
        <v/>
      </c>
      <c r="Y72" s="390" t="str">
        <f t="shared" si="4"/>
        <v/>
      </c>
      <c r="Z72" s="194"/>
      <c r="AA72" s="195"/>
      <c r="AB72" s="120"/>
      <c r="AE72" s="40" t="str">
        <f t="shared" si="0"/>
        <v/>
      </c>
    </row>
    <row r="73" spans="1:31" x14ac:dyDescent="0.25">
      <c r="A73" s="35" t="str">
        <f>IFERROR(INDEX('G-8 Condition Look up'!$I$4:$I$135,MATCH(F73,'G-8 Condition Look up'!$A$4:$A$135,0)),"")</f>
        <v/>
      </c>
      <c r="C73" s="299" t="str">
        <f>IFERROR(INDEX('G-1 All Habitats'!$AG$3:$AG$17,MATCH(D73,'G-1 All Habitats'!$AF$3:$AF$17,0)),"")</f>
        <v/>
      </c>
      <c r="D73" s="54"/>
      <c r="E73" s="61"/>
      <c r="F73" s="296" t="str">
        <f>IFERROR(INDEX('G-1 All Habitats'!$B$3:$B$134,MATCH(E73,'G-1 All Habitats'!$A$3:$A$134,0)),"")</f>
        <v/>
      </c>
      <c r="G73" s="53"/>
      <c r="H73" s="362" t="str">
        <f>IF(F73="","",VLOOKUP(F73,'G-1 All Habitats'!$B$2:$M$134,10,FALSE))</f>
        <v/>
      </c>
      <c r="I73" s="363" t="str">
        <f>IFERROR(VLOOKUP(H73,'G-1 All Habitats'!$V$3:$W$7,2,FALSE),"")</f>
        <v/>
      </c>
      <c r="J73" s="54"/>
      <c r="K73" s="363" t="str">
        <f>IFERROR(INDEX('G-8 Condition Look up'!$A$3:$H$135,MATCH(F73,'G-8 Condition Look up'!$A$3:$A$135,0),MATCH(J73,'G-8 Condition Look up'!$A$3:$H$3,0)),"")</f>
        <v/>
      </c>
      <c r="L73" s="54"/>
      <c r="M73" s="370" t="str">
        <f>IF(L73="","",IF(VLOOKUP(L73,'G-3 Multipliers'!$L$3:$N$6,2,FALSE)=0,"Spatial Data Missing",VLOOKUP(L73,'G-3 Multipliers'!$L$3:$N$6,2,FALSE)))</f>
        <v/>
      </c>
      <c r="N73" s="368" t="str">
        <f>IF(L73="","",IF(VLOOKUP(L73,'G-3 Multipliers'!$L$3:$N$6,3,FALSE)=0,"Spatial Data Missing",VLOOKUP(L73,'G-3 Multipliers'!$L$3:$N$6,3,FALSE)))</f>
        <v/>
      </c>
      <c r="O73" s="362" t="str">
        <f t="shared" si="1"/>
        <v/>
      </c>
      <c r="P73" s="63"/>
      <c r="Q73" s="63"/>
      <c r="R73" s="370" t="str">
        <f t="shared" si="2"/>
        <v/>
      </c>
      <c r="S73" s="383" t="str">
        <f t="shared" si="3"/>
        <v/>
      </c>
      <c r="T73" s="384"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losses",P73&gt;=O73),"Low",VLOOKUP(F73,'G-3 Multipliers'!$A$2:$E$134,4,FALSE))))</f>
        <v/>
      </c>
      <c r="X73" s="386" t="str">
        <f>IFERROR(IF(E73="","",VLOOKUP(W73, 'G-3 Multipliers'!$P$2:$Q$6,2,FALSE)),"")</f>
        <v/>
      </c>
      <c r="Y73" s="390" t="str">
        <f t="shared" si="4"/>
        <v/>
      </c>
      <c r="Z73" s="194"/>
      <c r="AA73" s="195"/>
      <c r="AB73" s="120"/>
      <c r="AE73" s="40" t="str">
        <f t="shared" si="0"/>
        <v/>
      </c>
    </row>
    <row r="74" spans="1:31" x14ac:dyDescent="0.25">
      <c r="A74" s="35" t="str">
        <f>IFERROR(INDEX('G-8 Condition Look up'!$I$4:$I$135,MATCH(F74,'G-8 Condition Look up'!$A$4:$A$135,0)),"")</f>
        <v/>
      </c>
      <c r="C74" s="299" t="str">
        <f>IFERROR(INDEX('G-1 All Habitats'!$AG$3:$AG$17,MATCH(D74,'G-1 All Habitats'!$AF$3:$AF$17,0)),"")</f>
        <v/>
      </c>
      <c r="D74" s="54"/>
      <c r="E74" s="61"/>
      <c r="F74" s="296" t="str">
        <f>IFERROR(INDEX('G-1 All Habitats'!$B$3:$B$134,MATCH(E74,'G-1 All Habitats'!$A$3:$A$134,0)),"")</f>
        <v/>
      </c>
      <c r="G74" s="53"/>
      <c r="H74" s="362" t="str">
        <f>IF(F74="","",VLOOKUP(F74,'G-1 All Habitats'!$B$2:$M$134,10,FALSE))</f>
        <v/>
      </c>
      <c r="I74" s="363" t="str">
        <f>IFERROR(VLOOKUP(H74,'G-1 All Habitats'!$V$3:$W$7,2,FALSE),"")</f>
        <v/>
      </c>
      <c r="J74" s="54"/>
      <c r="K74" s="363" t="str">
        <f>IFERROR(INDEX('G-8 Condition Look up'!$A$3:$H$135,MATCH(F74,'G-8 Condition Look up'!$A$3:$A$135,0),MATCH(J74,'G-8 Condition Look up'!$A$3:$H$3,0)),"")</f>
        <v/>
      </c>
      <c r="L74" s="54"/>
      <c r="M74" s="370" t="str">
        <f>IF(L74="","",IF(VLOOKUP(L74,'G-3 Multipliers'!$L$3:$N$6,2,FALSE)=0,"Spatial Data Missing",VLOOKUP(L74,'G-3 Multipliers'!$L$3:$N$6,2,FALSE)))</f>
        <v/>
      </c>
      <c r="N74" s="368" t="str">
        <f>IF(L74="","",IF(VLOOKUP(L74,'G-3 Multipliers'!$L$3:$N$6,3,FALSE)=0,"Spatial Data Missing",VLOOKUP(L74,'G-3 Multipliers'!$L$3:$N$6,3,FALSE)))</f>
        <v/>
      </c>
      <c r="O74" s="362" t="str">
        <f t="shared" si="1"/>
        <v/>
      </c>
      <c r="P74" s="63"/>
      <c r="Q74" s="63"/>
      <c r="R74" s="370" t="str">
        <f t="shared" si="2"/>
        <v/>
      </c>
      <c r="S74" s="383" t="str">
        <f t="shared" si="3"/>
        <v/>
      </c>
      <c r="T74" s="384"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losses",P74&gt;=O74),"Low",VLOOKUP(F74,'G-3 Multipliers'!$A$2:$E$134,4,FALSE))))</f>
        <v/>
      </c>
      <c r="X74" s="386" t="str">
        <f>IFERROR(IF(E74="","",VLOOKUP(W74, 'G-3 Multipliers'!$P$2:$Q$6,2,FALSE)),"")</f>
        <v/>
      </c>
      <c r="Y74" s="390" t="str">
        <f t="shared" si="4"/>
        <v/>
      </c>
      <c r="Z74" s="194"/>
      <c r="AA74" s="195"/>
      <c r="AB74" s="120"/>
      <c r="AE74" s="40" t="str">
        <f t="shared" si="0"/>
        <v/>
      </c>
    </row>
    <row r="75" spans="1:31" x14ac:dyDescent="0.25">
      <c r="A75" s="35" t="str">
        <f>IFERROR(INDEX('G-8 Condition Look up'!$I$4:$I$135,MATCH(F75,'G-8 Condition Look up'!$A$4:$A$135,0)),"")</f>
        <v/>
      </c>
      <c r="C75" s="299" t="str">
        <f>IFERROR(INDEX('G-1 All Habitats'!$AG$3:$AG$17,MATCH(D75,'G-1 All Habitats'!$AF$3:$AF$17,0)),"")</f>
        <v/>
      </c>
      <c r="D75" s="54"/>
      <c r="E75" s="61"/>
      <c r="F75" s="296" t="str">
        <f>IFERROR(INDEX('G-1 All Habitats'!$B$3:$B$134,MATCH(E75,'G-1 All Habitats'!$A$3:$A$134,0)),"")</f>
        <v/>
      </c>
      <c r="G75" s="53"/>
      <c r="H75" s="362" t="str">
        <f>IF(F75="","",VLOOKUP(F75,'G-1 All Habitats'!$B$2:$M$134,10,FALSE))</f>
        <v/>
      </c>
      <c r="I75" s="363" t="str">
        <f>IFERROR(VLOOKUP(H75,'G-1 All Habitats'!$V$3:$W$7,2,FALSE),"")</f>
        <v/>
      </c>
      <c r="J75" s="54"/>
      <c r="K75" s="363" t="str">
        <f>IFERROR(INDEX('G-8 Condition Look up'!$A$3:$H$135,MATCH(F75,'G-8 Condition Look up'!$A$3:$A$135,0),MATCH(J75,'G-8 Condition Look up'!$A$3:$H$3,0)),"")</f>
        <v/>
      </c>
      <c r="L75" s="54"/>
      <c r="M75" s="370" t="str">
        <f>IF(L75="","",IF(VLOOKUP(L75,'G-3 Multipliers'!$L$3:$N$6,2,FALSE)=0,"Spatial Data Missing",VLOOKUP(L75,'G-3 Multipliers'!$L$3:$N$6,2,FALSE)))</f>
        <v/>
      </c>
      <c r="N75" s="368" t="str">
        <f>IF(L75="","",IF(VLOOKUP(L75,'G-3 Multipliers'!$L$3:$N$6,3,FALSE)=0,"Spatial Data Missing",VLOOKUP(L75,'G-3 Multipliers'!$L$3:$N$6,3,FALSE)))</f>
        <v/>
      </c>
      <c r="O75" s="362" t="str">
        <f t="shared" ref="O75:O138" si="6">IFERROR(INDEX(TemporalData,MATCH(F75,TemporalHabitats,0),MATCH(J75,TemporalConditions,0)),"")</f>
        <v/>
      </c>
      <c r="P75" s="63"/>
      <c r="Q75" s="63"/>
      <c r="R75" s="370" t="str">
        <f t="shared" si="2"/>
        <v/>
      </c>
      <c r="S75" s="383" t="str">
        <f t="shared" si="3"/>
        <v/>
      </c>
      <c r="T75" s="384"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losses",P75&gt;=O75),"Low",VLOOKUP(F75,'G-3 Multipliers'!$A$2:$E$134,4,FALSE))))</f>
        <v/>
      </c>
      <c r="X75" s="386" t="str">
        <f>IFERROR(IF(E75="","",VLOOKUP(W75, 'G-3 Multipliers'!$P$2:$Q$6,2,FALSE)),"")</f>
        <v/>
      </c>
      <c r="Y75" s="390" t="str">
        <f t="shared" si="4"/>
        <v/>
      </c>
      <c r="Z75" s="194"/>
      <c r="AA75" s="195"/>
      <c r="AB75" s="120"/>
      <c r="AE75" s="40" t="str">
        <f t="shared" ref="AE75:AE138" si="7">IFERROR(INDEX(TemporalData,MATCH(F75,TemporalHabitats,0),MATCH($AE$10,TemporalConditions,0)),"")</f>
        <v/>
      </c>
    </row>
    <row r="76" spans="1:31" x14ac:dyDescent="0.25">
      <c r="A76" s="35" t="str">
        <f>IFERROR(INDEX('G-8 Condition Look up'!$I$4:$I$135,MATCH(F76,'G-8 Condition Look up'!$A$4:$A$135,0)),"")</f>
        <v/>
      </c>
      <c r="C76" s="299" t="str">
        <f>IFERROR(INDEX('G-1 All Habitats'!$AG$3:$AG$17,MATCH(D76,'G-1 All Habitats'!$AF$3:$AF$17,0)),"")</f>
        <v/>
      </c>
      <c r="D76" s="54"/>
      <c r="E76" s="61"/>
      <c r="F76" s="296" t="str">
        <f>IFERROR(INDEX('G-1 All Habitats'!$B$3:$B$134,MATCH(E76,'G-1 All Habitats'!$A$3:$A$134,0)),"")</f>
        <v/>
      </c>
      <c r="G76" s="53"/>
      <c r="H76" s="362" t="str">
        <f>IF(F76="","",VLOOKUP(F76,'G-1 All Habitats'!$B$2:$M$134,10,FALSE))</f>
        <v/>
      </c>
      <c r="I76" s="363" t="str">
        <f>IFERROR(VLOOKUP(H76,'G-1 All Habitats'!$V$3:$W$7,2,FALSE),"")</f>
        <v/>
      </c>
      <c r="J76" s="54"/>
      <c r="K76" s="363" t="str">
        <f>IFERROR(INDEX('G-8 Condition Look up'!$A$3:$H$135,MATCH(F76,'G-8 Condition Look up'!$A$3:$A$135,0),MATCH(J76,'G-8 Condition Look up'!$A$3:$H$3,0)),"")</f>
        <v/>
      </c>
      <c r="L76" s="54"/>
      <c r="M76" s="370" t="str">
        <f>IF(L76="","",IF(VLOOKUP(L76,'G-3 Multipliers'!$L$3:$N$6,2,FALSE)=0,"Spatial Data Missing",VLOOKUP(L76,'G-3 Multipliers'!$L$3:$N$6,2,FALSE)))</f>
        <v/>
      </c>
      <c r="N76" s="368" t="str">
        <f>IF(L76="","",IF(VLOOKUP(L76,'G-3 Multipliers'!$L$3:$N$6,3,FALSE)=0,"Spatial Data Missing",VLOOKUP(L76,'G-3 Multipliers'!$L$3:$N$6,3,FALSE)))</f>
        <v/>
      </c>
      <c r="O76" s="362" t="str">
        <f t="shared" si="6"/>
        <v/>
      </c>
      <c r="P76" s="63"/>
      <c r="Q76" s="63"/>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383" t="str">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
      </c>
      <c r="T76" s="384"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losses",P76&gt;=O76),"Low",VLOOKUP(F76,'G-3 Multipliers'!$A$2:$E$134,4,FALSE))))</f>
        <v/>
      </c>
      <c r="X76" s="386" t="str">
        <f>IFERROR(IF(E76="","",VLOOKUP(W76, 'G-3 Multipliers'!$P$2:$Q$6,2,FALSE)),"")</f>
        <v/>
      </c>
      <c r="Y76" s="390" t="str">
        <f t="shared" ref="Y76:Y139" si="10">IFERROR(G76*I76*K76*N76*T76*X76,"")</f>
        <v/>
      </c>
      <c r="Z76" s="194"/>
      <c r="AA76" s="195"/>
      <c r="AB76" s="120"/>
      <c r="AE76" s="40" t="str">
        <f t="shared" si="7"/>
        <v/>
      </c>
    </row>
    <row r="77" spans="1:31" x14ac:dyDescent="0.25">
      <c r="A77" s="35" t="str">
        <f>IFERROR(INDEX('G-8 Condition Look up'!$I$4:$I$135,MATCH(F77,'G-8 Condition Look up'!$A$4:$A$135,0)),"")</f>
        <v/>
      </c>
      <c r="C77" s="299" t="str">
        <f>IFERROR(INDEX('G-1 All Habitats'!$AG$3:$AG$17,MATCH(D77,'G-1 All Habitats'!$AF$3:$AF$17,0)),"")</f>
        <v/>
      </c>
      <c r="D77" s="54"/>
      <c r="E77" s="61"/>
      <c r="F77" s="296" t="str">
        <f>IFERROR(INDEX('G-1 All Habitats'!$B$3:$B$134,MATCH(E77,'G-1 All Habitats'!$A$3:$A$134,0)),"")</f>
        <v/>
      </c>
      <c r="G77" s="53"/>
      <c r="H77" s="362" t="str">
        <f>IF(F77="","",VLOOKUP(F77,'G-1 All Habitats'!$B$2:$M$134,10,FALSE))</f>
        <v/>
      </c>
      <c r="I77" s="363" t="str">
        <f>IFERROR(VLOOKUP(H77,'G-1 All Habitats'!$V$3:$W$7,2,FALSE),"")</f>
        <v/>
      </c>
      <c r="J77" s="54"/>
      <c r="K77" s="363" t="str">
        <f>IFERROR(INDEX('G-8 Condition Look up'!$A$3:$H$135,MATCH(F77,'G-8 Condition Look up'!$A$3:$A$135,0),MATCH(J77,'G-8 Condition Look up'!$A$3:$H$3,0)),"")</f>
        <v/>
      </c>
      <c r="L77" s="54"/>
      <c r="M77" s="370" t="str">
        <f>IF(L77="","",IF(VLOOKUP(L77,'G-3 Multipliers'!$L$3:$N$6,2,FALSE)=0,"Spatial Data Missing",VLOOKUP(L77,'G-3 Multipliers'!$L$3:$N$6,2,FALSE)))</f>
        <v/>
      </c>
      <c r="N77" s="368" t="str">
        <f>IF(L77="","",IF(VLOOKUP(L77,'G-3 Multipliers'!$L$3:$N$6,3,FALSE)=0,"Spatial Data Missing",VLOOKUP(L77,'G-3 Multipliers'!$L$3:$N$6,3,FALSE)))</f>
        <v/>
      </c>
      <c r="O77" s="362" t="str">
        <f t="shared" si="6"/>
        <v/>
      </c>
      <c r="P77" s="63"/>
      <c r="Q77" s="63"/>
      <c r="R77" s="370" t="str">
        <f t="shared" si="8"/>
        <v/>
      </c>
      <c r="S77" s="383" t="str">
        <f t="shared" si="9"/>
        <v/>
      </c>
      <c r="T77" s="384"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
      </c>
      <c r="W77" s="382" t="str">
        <f>IF(E77="","",IF(AND(V77="Standard difficulty applied",O77&gt;P77),U77,IF(AND(V77="Low Difficulty - only applicable if all habitat created before losses",P77&gt;=O77),"Low",VLOOKUP(F77,'G-3 Multipliers'!$A$2:$E$134,4,FALSE))))</f>
        <v/>
      </c>
      <c r="X77" s="386" t="str">
        <f>IFERROR(IF(E77="","",VLOOKUP(W77, 'G-3 Multipliers'!$P$2:$Q$6,2,FALSE)),"")</f>
        <v/>
      </c>
      <c r="Y77" s="390" t="str">
        <f t="shared" si="10"/>
        <v/>
      </c>
      <c r="Z77" s="194"/>
      <c r="AA77" s="195"/>
      <c r="AB77" s="120"/>
      <c r="AE77" s="40" t="str">
        <f t="shared" si="7"/>
        <v/>
      </c>
    </row>
    <row r="78" spans="1:31" x14ac:dyDescent="0.25">
      <c r="A78" s="35" t="str">
        <f>IFERROR(INDEX('G-8 Condition Look up'!$I$4:$I$135,MATCH(F78,'G-8 Condition Look up'!$A$4:$A$135,0)),"")</f>
        <v/>
      </c>
      <c r="C78" s="299" t="str">
        <f>IFERROR(INDEX('G-1 All Habitats'!$AG$3:$AG$17,MATCH(D78,'G-1 All Habitats'!$AF$3:$AF$17,0)),"")</f>
        <v/>
      </c>
      <c r="D78" s="54"/>
      <c r="E78" s="61"/>
      <c r="F78" s="296" t="str">
        <f>IFERROR(INDEX('G-1 All Habitats'!$B$3:$B$134,MATCH(E78,'G-1 All Habitats'!$A$3:$A$134,0)),"")</f>
        <v/>
      </c>
      <c r="G78" s="53"/>
      <c r="H78" s="362" t="str">
        <f>IF(F78="","",VLOOKUP(F78,'G-1 All Habitats'!$B$2:$M$134,10,FALSE))</f>
        <v/>
      </c>
      <c r="I78" s="363" t="str">
        <f>IFERROR(VLOOKUP(H78,'G-1 All Habitats'!$V$3:$W$7,2,FALSE),"")</f>
        <v/>
      </c>
      <c r="J78" s="54"/>
      <c r="K78" s="363" t="str">
        <f>IFERROR(INDEX('G-8 Condition Look up'!$A$3:$H$135,MATCH(F78,'G-8 Condition Look up'!$A$3:$A$135,0),MATCH(J78,'G-8 Condition Look up'!$A$3:$H$3,0)),"")</f>
        <v/>
      </c>
      <c r="L78" s="54"/>
      <c r="M78" s="370" t="str">
        <f>IF(L78="","",IF(VLOOKUP(L78,'G-3 Multipliers'!$L$3:$N$6,2,FALSE)=0,"Spatial Data Missing",VLOOKUP(L78,'G-3 Multipliers'!$L$3:$N$6,2,FALSE)))</f>
        <v/>
      </c>
      <c r="N78" s="368" t="str">
        <f>IF(L78="","",IF(VLOOKUP(L78,'G-3 Multipliers'!$L$3:$N$6,3,FALSE)=0,"Spatial Data Missing",VLOOKUP(L78,'G-3 Multipliers'!$L$3:$N$6,3,FALSE)))</f>
        <v/>
      </c>
      <c r="O78" s="362" t="str">
        <f t="shared" si="6"/>
        <v/>
      </c>
      <c r="P78" s="63"/>
      <c r="Q78" s="63"/>
      <c r="R78" s="370" t="str">
        <f t="shared" si="8"/>
        <v/>
      </c>
      <c r="S78" s="383" t="str">
        <f t="shared" si="9"/>
        <v/>
      </c>
      <c r="T78" s="384"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losses",P78&gt;=O78),"Low",VLOOKUP(F78,'G-3 Multipliers'!$A$2:$E$134,4,FALSE))))</f>
        <v/>
      </c>
      <c r="X78" s="386" t="str">
        <f>IFERROR(IF(E78="","",VLOOKUP(W78, 'G-3 Multipliers'!$P$2:$Q$6,2,FALSE)),"")</f>
        <v/>
      </c>
      <c r="Y78" s="390" t="str">
        <f t="shared" si="10"/>
        <v/>
      </c>
      <c r="Z78" s="194"/>
      <c r="AA78" s="195"/>
      <c r="AB78" s="120"/>
      <c r="AE78" s="40" t="str">
        <f t="shared" si="7"/>
        <v/>
      </c>
    </row>
    <row r="79" spans="1:31" x14ac:dyDescent="0.25">
      <c r="A79" s="35" t="str">
        <f>IFERROR(INDEX('G-8 Condition Look up'!$I$4:$I$135,MATCH(F79,'G-8 Condition Look up'!$A$4:$A$135,0)),"")</f>
        <v/>
      </c>
      <c r="C79" s="299" t="str">
        <f>IFERROR(INDEX('G-1 All Habitats'!$AG$3:$AG$17,MATCH(D79,'G-1 All Habitats'!$AF$3:$AF$17,0)),"")</f>
        <v/>
      </c>
      <c r="D79" s="54"/>
      <c r="E79" s="61"/>
      <c r="F79" s="296" t="str">
        <f>IFERROR(INDEX('G-1 All Habitats'!$B$3:$B$134,MATCH(E79,'G-1 All Habitats'!$A$3:$A$134,0)),"")</f>
        <v/>
      </c>
      <c r="G79" s="53"/>
      <c r="H79" s="362" t="str">
        <f>IF(F79="","",VLOOKUP(F79,'G-1 All Habitats'!$B$2:$M$134,10,FALSE))</f>
        <v/>
      </c>
      <c r="I79" s="363" t="str">
        <f>IFERROR(VLOOKUP(H79,'G-1 All Habitats'!$V$3:$W$7,2,FALSE),"")</f>
        <v/>
      </c>
      <c r="J79" s="54"/>
      <c r="K79" s="363" t="str">
        <f>IFERROR(INDEX('G-8 Condition Look up'!$A$3:$H$135,MATCH(F79,'G-8 Condition Look up'!$A$3:$A$135,0),MATCH(J79,'G-8 Condition Look up'!$A$3:$H$3,0)),"")</f>
        <v/>
      </c>
      <c r="L79" s="54"/>
      <c r="M79" s="370" t="str">
        <f>IF(L79="","",IF(VLOOKUP(L79,'G-3 Multipliers'!$L$3:$N$6,2,FALSE)=0,"Spatial Data Missing",VLOOKUP(L79,'G-3 Multipliers'!$L$3:$N$6,2,FALSE)))</f>
        <v/>
      </c>
      <c r="N79" s="368" t="str">
        <f>IF(L79="","",IF(VLOOKUP(L79,'G-3 Multipliers'!$L$3:$N$6,3,FALSE)=0,"Spatial Data Missing",VLOOKUP(L79,'G-3 Multipliers'!$L$3:$N$6,3,FALSE)))</f>
        <v/>
      </c>
      <c r="O79" s="362" t="str">
        <f t="shared" si="6"/>
        <v/>
      </c>
      <c r="P79" s="63"/>
      <c r="Q79" s="63"/>
      <c r="R79" s="370" t="str">
        <f t="shared" si="8"/>
        <v/>
      </c>
      <c r="S79" s="383" t="str">
        <f t="shared" si="9"/>
        <v/>
      </c>
      <c r="T79" s="384"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losses",P79&gt;=O79),"Low",VLOOKUP(F79,'G-3 Multipliers'!$A$2:$E$134,4,FALSE))))</f>
        <v/>
      </c>
      <c r="X79" s="386" t="str">
        <f>IFERROR(IF(E79="","",VLOOKUP(W79, 'G-3 Multipliers'!$P$2:$Q$6,2,FALSE)),"")</f>
        <v/>
      </c>
      <c r="Y79" s="390" t="str">
        <f t="shared" si="10"/>
        <v/>
      </c>
      <c r="Z79" s="194"/>
      <c r="AA79" s="195"/>
      <c r="AB79" s="120"/>
      <c r="AE79" s="40" t="str">
        <f t="shared" si="7"/>
        <v/>
      </c>
    </row>
    <row r="80" spans="1:31" x14ac:dyDescent="0.25">
      <c r="A80" s="35" t="str">
        <f>IFERROR(INDEX('G-8 Condition Look up'!$I$4:$I$135,MATCH(F80,'G-8 Condition Look up'!$A$4:$A$135,0)),"")</f>
        <v/>
      </c>
      <c r="C80" s="299" t="str">
        <f>IFERROR(INDEX('G-1 All Habitats'!$AG$3:$AG$17,MATCH(D80,'G-1 All Habitats'!$AF$3:$AF$17,0)),"")</f>
        <v/>
      </c>
      <c r="D80" s="54"/>
      <c r="E80" s="61"/>
      <c r="F80" s="296" t="str">
        <f>IFERROR(INDEX('G-1 All Habitats'!$B$3:$B$134,MATCH(E80,'G-1 All Habitats'!$A$3:$A$134,0)),"")</f>
        <v/>
      </c>
      <c r="G80" s="53"/>
      <c r="H80" s="362" t="str">
        <f>IF(F80="","",VLOOKUP(F80,'G-1 All Habitats'!$B$2:$M$134,10,FALSE))</f>
        <v/>
      </c>
      <c r="I80" s="363" t="str">
        <f>IFERROR(VLOOKUP(H80,'G-1 All Habitats'!$V$3:$W$7,2,FALSE),"")</f>
        <v/>
      </c>
      <c r="J80" s="54"/>
      <c r="K80" s="363" t="str">
        <f>IFERROR(INDEX('G-8 Condition Look up'!$A$3:$H$135,MATCH(F80,'G-8 Condition Look up'!$A$3:$A$135,0),MATCH(J80,'G-8 Condition Look up'!$A$3:$H$3,0)),"")</f>
        <v/>
      </c>
      <c r="L80" s="54"/>
      <c r="M80" s="370" t="str">
        <f>IF(L80="","",IF(VLOOKUP(L80,'G-3 Multipliers'!$L$3:$N$6,2,FALSE)=0,"Spatial Data Missing",VLOOKUP(L80,'G-3 Multipliers'!$L$3:$N$6,2,FALSE)))</f>
        <v/>
      </c>
      <c r="N80" s="368" t="str">
        <f>IF(L80="","",IF(VLOOKUP(L80,'G-3 Multipliers'!$L$3:$N$6,3,FALSE)=0,"Spatial Data Missing",VLOOKUP(L80,'G-3 Multipliers'!$L$3:$N$6,3,FALSE)))</f>
        <v/>
      </c>
      <c r="O80" s="362" t="str">
        <f t="shared" si="6"/>
        <v/>
      </c>
      <c r="P80" s="63"/>
      <c r="Q80" s="63"/>
      <c r="R80" s="370" t="str">
        <f t="shared" si="8"/>
        <v/>
      </c>
      <c r="S80" s="383" t="str">
        <f t="shared" si="9"/>
        <v/>
      </c>
      <c r="T80" s="384"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losses",P80&gt;=O80),"Low",VLOOKUP(F80,'G-3 Multipliers'!$A$2:$E$134,4,FALSE))))</f>
        <v/>
      </c>
      <c r="X80" s="386" t="str">
        <f>IFERROR(IF(E80="","",VLOOKUP(W80, 'G-3 Multipliers'!$P$2:$Q$6,2,FALSE)),"")</f>
        <v/>
      </c>
      <c r="Y80" s="390" t="str">
        <f t="shared" si="10"/>
        <v/>
      </c>
      <c r="Z80" s="194"/>
      <c r="AA80" s="195"/>
      <c r="AB80" s="120"/>
      <c r="AE80" s="40" t="str">
        <f t="shared" si="7"/>
        <v/>
      </c>
    </row>
    <row r="81" spans="1:31" x14ac:dyDescent="0.25">
      <c r="A81" s="35" t="str">
        <f>IFERROR(INDEX('G-8 Condition Look up'!$I$4:$I$135,MATCH(F81,'G-8 Condition Look up'!$A$4:$A$135,0)),"")</f>
        <v/>
      </c>
      <c r="C81" s="299" t="str">
        <f>IFERROR(INDEX('G-1 All Habitats'!$AG$3:$AG$17,MATCH(D81,'G-1 All Habitats'!$AF$3:$AF$17,0)),"")</f>
        <v/>
      </c>
      <c r="D81" s="54"/>
      <c r="E81" s="61"/>
      <c r="F81" s="296" t="str">
        <f>IFERROR(INDEX('G-1 All Habitats'!$B$3:$B$134,MATCH(E81,'G-1 All Habitats'!$A$3:$A$134,0)),"")</f>
        <v/>
      </c>
      <c r="G81" s="53"/>
      <c r="H81" s="362" t="str">
        <f>IF(F81="","",VLOOKUP(F81,'G-1 All Habitats'!$B$2:$M$134,10,FALSE))</f>
        <v/>
      </c>
      <c r="I81" s="363" t="str">
        <f>IFERROR(VLOOKUP(H81,'G-1 All Habitats'!$V$3:$W$7,2,FALSE),"")</f>
        <v/>
      </c>
      <c r="J81" s="54"/>
      <c r="K81" s="363" t="str">
        <f>IFERROR(INDEX('G-8 Condition Look up'!$A$3:$H$135,MATCH(F81,'G-8 Condition Look up'!$A$3:$A$135,0),MATCH(J81,'G-8 Condition Look up'!$A$3:$H$3,0)),"")</f>
        <v/>
      </c>
      <c r="L81" s="54"/>
      <c r="M81" s="370" t="str">
        <f>IF(L81="","",IF(VLOOKUP(L81,'G-3 Multipliers'!$L$3:$N$6,2,FALSE)=0,"Spatial Data Missing",VLOOKUP(L81,'G-3 Multipliers'!$L$3:$N$6,2,FALSE)))</f>
        <v/>
      </c>
      <c r="N81" s="368" t="str">
        <f>IF(L81="","",IF(VLOOKUP(L81,'G-3 Multipliers'!$L$3:$N$6,3,FALSE)=0,"Spatial Data Missing",VLOOKUP(L81,'G-3 Multipliers'!$L$3:$N$6,3,FALSE)))</f>
        <v/>
      </c>
      <c r="O81" s="362" t="str">
        <f t="shared" si="6"/>
        <v/>
      </c>
      <c r="P81" s="63"/>
      <c r="Q81" s="63"/>
      <c r="R81" s="370" t="str">
        <f t="shared" si="8"/>
        <v/>
      </c>
      <c r="S81" s="383" t="str">
        <f t="shared" si="9"/>
        <v/>
      </c>
      <c r="T81" s="384"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losses",P81&gt;=O81),"Low",VLOOKUP(F81,'G-3 Multipliers'!$A$2:$E$134,4,FALSE))))</f>
        <v/>
      </c>
      <c r="X81" s="386" t="str">
        <f>IFERROR(IF(E81="","",VLOOKUP(W81, 'G-3 Multipliers'!$P$2:$Q$6,2,FALSE)),"")</f>
        <v/>
      </c>
      <c r="Y81" s="390" t="str">
        <f t="shared" si="10"/>
        <v/>
      </c>
      <c r="Z81" s="194"/>
      <c r="AA81" s="195"/>
      <c r="AB81" s="120"/>
      <c r="AE81" s="40" t="str">
        <f t="shared" si="7"/>
        <v/>
      </c>
    </row>
    <row r="82" spans="1:31" x14ac:dyDescent="0.25">
      <c r="A82" s="35" t="str">
        <f>IFERROR(INDEX('G-8 Condition Look up'!$I$4:$I$135,MATCH(F82,'G-8 Condition Look up'!$A$4:$A$135,0)),"")</f>
        <v/>
      </c>
      <c r="C82" s="299" t="str">
        <f>IFERROR(INDEX('G-1 All Habitats'!$AG$3:$AG$17,MATCH(D82,'G-1 All Habitats'!$AF$3:$AF$17,0)),"")</f>
        <v/>
      </c>
      <c r="D82" s="54"/>
      <c r="E82" s="61"/>
      <c r="F82" s="296" t="str">
        <f>IFERROR(INDEX('G-1 All Habitats'!$B$3:$B$134,MATCH(E82,'G-1 All Habitats'!$A$3:$A$134,0)),"")</f>
        <v/>
      </c>
      <c r="G82" s="53"/>
      <c r="H82" s="362" t="str">
        <f>IF(F82="","",VLOOKUP(F82,'G-1 All Habitats'!$B$2:$M$134,10,FALSE))</f>
        <v/>
      </c>
      <c r="I82" s="363" t="str">
        <f>IFERROR(VLOOKUP(H82,'G-1 All Habitats'!$V$3:$W$7,2,FALSE),"")</f>
        <v/>
      </c>
      <c r="J82" s="54"/>
      <c r="K82" s="363" t="str">
        <f>IFERROR(INDEX('G-8 Condition Look up'!$A$3:$H$135,MATCH(F82,'G-8 Condition Look up'!$A$3:$A$135,0),MATCH(J82,'G-8 Condition Look up'!$A$3:$H$3,0)),"")</f>
        <v/>
      </c>
      <c r="L82" s="54"/>
      <c r="M82" s="370" t="str">
        <f>IF(L82="","",IF(VLOOKUP(L82,'G-3 Multipliers'!$L$3:$N$6,2,FALSE)=0,"Spatial Data Missing",VLOOKUP(L82,'G-3 Multipliers'!$L$3:$N$6,2,FALSE)))</f>
        <v/>
      </c>
      <c r="N82" s="368" t="str">
        <f>IF(L82="","",IF(VLOOKUP(L82,'G-3 Multipliers'!$L$3:$N$6,3,FALSE)=0,"Spatial Data Missing",VLOOKUP(L82,'G-3 Multipliers'!$L$3:$N$6,3,FALSE)))</f>
        <v/>
      </c>
      <c r="O82" s="362" t="str">
        <f t="shared" si="6"/>
        <v/>
      </c>
      <c r="P82" s="63"/>
      <c r="Q82" s="63"/>
      <c r="R82" s="370" t="str">
        <f t="shared" si="8"/>
        <v/>
      </c>
      <c r="S82" s="383" t="str">
        <f t="shared" si="9"/>
        <v/>
      </c>
      <c r="T82" s="384"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losses",P82&gt;=O82),"Low",VLOOKUP(F82,'G-3 Multipliers'!$A$2:$E$134,4,FALSE))))</f>
        <v/>
      </c>
      <c r="X82" s="386" t="str">
        <f>IFERROR(IF(E82="","",VLOOKUP(W82, 'G-3 Multipliers'!$P$2:$Q$6,2,FALSE)),"")</f>
        <v/>
      </c>
      <c r="Y82" s="390" t="str">
        <f t="shared" si="10"/>
        <v/>
      </c>
      <c r="Z82" s="194"/>
      <c r="AA82" s="195"/>
      <c r="AB82" s="120"/>
      <c r="AE82" s="40" t="str">
        <f t="shared" si="7"/>
        <v/>
      </c>
    </row>
    <row r="83" spans="1:31" x14ac:dyDescent="0.25">
      <c r="A83" s="35" t="str">
        <f>IFERROR(INDEX('G-8 Condition Look up'!$I$4:$I$135,MATCH(F83,'G-8 Condition Look up'!$A$4:$A$135,0)),"")</f>
        <v/>
      </c>
      <c r="C83" s="299" t="str">
        <f>IFERROR(INDEX('G-1 All Habitats'!$AG$3:$AG$17,MATCH(D83,'G-1 All Habitats'!$AF$3:$AF$17,0)),"")</f>
        <v/>
      </c>
      <c r="D83" s="54"/>
      <c r="E83" s="61"/>
      <c r="F83" s="296" t="str">
        <f>IFERROR(INDEX('G-1 All Habitats'!$B$3:$B$134,MATCH(E83,'G-1 All Habitats'!$A$3:$A$134,0)),"")</f>
        <v/>
      </c>
      <c r="G83" s="53"/>
      <c r="H83" s="362" t="str">
        <f>IF(F83="","",VLOOKUP(F83,'G-1 All Habitats'!$B$2:$M$134,10,FALSE))</f>
        <v/>
      </c>
      <c r="I83" s="363" t="str">
        <f>IFERROR(VLOOKUP(H83,'G-1 All Habitats'!$V$3:$W$7,2,FALSE),"")</f>
        <v/>
      </c>
      <c r="J83" s="54"/>
      <c r="K83" s="363" t="str">
        <f>IFERROR(INDEX('G-8 Condition Look up'!$A$3:$H$135,MATCH(F83,'G-8 Condition Look up'!$A$3:$A$135,0),MATCH(J83,'G-8 Condition Look up'!$A$3:$H$3,0)),"")</f>
        <v/>
      </c>
      <c r="L83" s="54"/>
      <c r="M83" s="370" t="str">
        <f>IF(L83="","",IF(VLOOKUP(L83,'G-3 Multipliers'!$L$3:$N$6,2,FALSE)=0,"Spatial Data Missing",VLOOKUP(L83,'G-3 Multipliers'!$L$3:$N$6,2,FALSE)))</f>
        <v/>
      </c>
      <c r="N83" s="368" t="str">
        <f>IF(L83="","",IF(VLOOKUP(L83,'G-3 Multipliers'!$L$3:$N$6,3,FALSE)=0,"Spatial Data Missing",VLOOKUP(L83,'G-3 Multipliers'!$L$3:$N$6,3,FALSE)))</f>
        <v/>
      </c>
      <c r="O83" s="362" t="str">
        <f t="shared" si="6"/>
        <v/>
      </c>
      <c r="P83" s="63"/>
      <c r="Q83" s="63"/>
      <c r="R83" s="370" t="str">
        <f t="shared" si="8"/>
        <v/>
      </c>
      <c r="S83" s="383" t="str">
        <f t="shared" si="9"/>
        <v/>
      </c>
      <c r="T83" s="384"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losses",P83&gt;=O83),"Low",VLOOKUP(F83,'G-3 Multipliers'!$A$2:$E$134,4,FALSE))))</f>
        <v/>
      </c>
      <c r="X83" s="386" t="str">
        <f>IFERROR(IF(E83="","",VLOOKUP(W83, 'G-3 Multipliers'!$P$2:$Q$6,2,FALSE)),"")</f>
        <v/>
      </c>
      <c r="Y83" s="390" t="str">
        <f t="shared" si="10"/>
        <v/>
      </c>
      <c r="Z83" s="194"/>
      <c r="AA83" s="195"/>
      <c r="AB83" s="120"/>
      <c r="AE83" s="40" t="str">
        <f t="shared" si="7"/>
        <v/>
      </c>
    </row>
    <row r="84" spans="1:31" x14ac:dyDescent="0.25">
      <c r="A84" s="35" t="str">
        <f>IFERROR(INDEX('G-8 Condition Look up'!$I$4:$I$135,MATCH(F84,'G-8 Condition Look up'!$A$4:$A$135,0)),"")</f>
        <v/>
      </c>
      <c r="C84" s="299" t="str">
        <f>IFERROR(INDEX('G-1 All Habitats'!$AG$3:$AG$17,MATCH(D84,'G-1 All Habitats'!$AF$3:$AF$17,0)),"")</f>
        <v/>
      </c>
      <c r="D84" s="54"/>
      <c r="E84" s="61"/>
      <c r="F84" s="296" t="str">
        <f>IFERROR(INDEX('G-1 All Habitats'!$B$3:$B$134,MATCH(E84,'G-1 All Habitats'!$A$3:$A$134,0)),"")</f>
        <v/>
      </c>
      <c r="G84" s="53"/>
      <c r="H84" s="362" t="str">
        <f>IF(F84="","",VLOOKUP(F84,'G-1 All Habitats'!$B$2:$M$134,10,FALSE))</f>
        <v/>
      </c>
      <c r="I84" s="363" t="str">
        <f>IFERROR(VLOOKUP(H84,'G-1 All Habitats'!$V$3:$W$7,2,FALSE),"")</f>
        <v/>
      </c>
      <c r="J84" s="54"/>
      <c r="K84" s="363" t="str">
        <f>IFERROR(INDEX('G-8 Condition Look up'!$A$3:$H$135,MATCH(F84,'G-8 Condition Look up'!$A$3:$A$135,0),MATCH(J84,'G-8 Condition Look up'!$A$3:$H$3,0)),"")</f>
        <v/>
      </c>
      <c r="L84" s="54"/>
      <c r="M84" s="370" t="str">
        <f>IF(L84="","",IF(VLOOKUP(L84,'G-3 Multipliers'!$L$3:$N$6,2,FALSE)=0,"Spatial Data Missing",VLOOKUP(L84,'G-3 Multipliers'!$L$3:$N$6,2,FALSE)))</f>
        <v/>
      </c>
      <c r="N84" s="368" t="str">
        <f>IF(L84="","",IF(VLOOKUP(L84,'G-3 Multipliers'!$L$3:$N$6,3,FALSE)=0,"Spatial Data Missing",VLOOKUP(L84,'G-3 Multipliers'!$L$3:$N$6,3,FALSE)))</f>
        <v/>
      </c>
      <c r="O84" s="362" t="str">
        <f t="shared" si="6"/>
        <v/>
      </c>
      <c r="P84" s="63"/>
      <c r="Q84" s="63"/>
      <c r="R84" s="370" t="str">
        <f t="shared" si="8"/>
        <v/>
      </c>
      <c r="S84" s="383" t="str">
        <f t="shared" si="9"/>
        <v/>
      </c>
      <c r="T84" s="384"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losses",P84&gt;=O84),"Low",VLOOKUP(F84,'G-3 Multipliers'!$A$2:$E$134,4,FALSE))))</f>
        <v/>
      </c>
      <c r="X84" s="386" t="str">
        <f>IFERROR(IF(E84="","",VLOOKUP(W84, 'G-3 Multipliers'!$P$2:$Q$6,2,FALSE)),"")</f>
        <v/>
      </c>
      <c r="Y84" s="390" t="str">
        <f t="shared" si="10"/>
        <v/>
      </c>
      <c r="Z84" s="194"/>
      <c r="AA84" s="195"/>
      <c r="AB84" s="120"/>
      <c r="AE84" s="40" t="str">
        <f t="shared" si="7"/>
        <v/>
      </c>
    </row>
    <row r="85" spans="1:31" x14ac:dyDescent="0.25">
      <c r="A85" s="35" t="str">
        <f>IFERROR(INDEX('G-8 Condition Look up'!$I$4:$I$135,MATCH(F85,'G-8 Condition Look up'!$A$4:$A$135,0)),"")</f>
        <v/>
      </c>
      <c r="C85" s="299" t="str">
        <f>IFERROR(INDEX('G-1 All Habitats'!$AG$3:$AG$17,MATCH(D85,'G-1 All Habitats'!$AF$3:$AF$17,0)),"")</f>
        <v/>
      </c>
      <c r="D85" s="54"/>
      <c r="E85" s="61"/>
      <c r="F85" s="296" t="str">
        <f>IFERROR(INDEX('G-1 All Habitats'!$B$3:$B$134,MATCH(E85,'G-1 All Habitats'!$A$3:$A$134,0)),"")</f>
        <v/>
      </c>
      <c r="G85" s="53"/>
      <c r="H85" s="362" t="str">
        <f>IF(F85="","",VLOOKUP(F85,'G-1 All Habitats'!$B$2:$M$134,10,FALSE))</f>
        <v/>
      </c>
      <c r="I85" s="363" t="str">
        <f>IFERROR(VLOOKUP(H85,'G-1 All Habitats'!$V$3:$W$7,2,FALSE),"")</f>
        <v/>
      </c>
      <c r="J85" s="54"/>
      <c r="K85" s="363" t="str">
        <f>IFERROR(INDEX('G-8 Condition Look up'!$A$3:$H$135,MATCH(F85,'G-8 Condition Look up'!$A$3:$A$135,0),MATCH(J85,'G-8 Condition Look up'!$A$3:$H$3,0)),"")</f>
        <v/>
      </c>
      <c r="L85" s="54"/>
      <c r="M85" s="370" t="str">
        <f>IF(L85="","",IF(VLOOKUP(L85,'G-3 Multipliers'!$L$3:$N$6,2,FALSE)=0,"Spatial Data Missing",VLOOKUP(L85,'G-3 Multipliers'!$L$3:$N$6,2,FALSE)))</f>
        <v/>
      </c>
      <c r="N85" s="368" t="str">
        <f>IF(L85="","",IF(VLOOKUP(L85,'G-3 Multipliers'!$L$3:$N$6,3,FALSE)=0,"Spatial Data Missing",VLOOKUP(L85,'G-3 Multipliers'!$L$3:$N$6,3,FALSE)))</f>
        <v/>
      </c>
      <c r="O85" s="362" t="str">
        <f t="shared" si="6"/>
        <v/>
      </c>
      <c r="P85" s="63"/>
      <c r="Q85" s="63"/>
      <c r="R85" s="370" t="str">
        <f t="shared" si="8"/>
        <v/>
      </c>
      <c r="S85" s="383" t="str">
        <f t="shared" si="9"/>
        <v/>
      </c>
      <c r="T85" s="384"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losses",P85&gt;=O85),"Low",VLOOKUP(F85,'G-3 Multipliers'!$A$2:$E$134,4,FALSE))))</f>
        <v/>
      </c>
      <c r="X85" s="386" t="str">
        <f>IFERROR(IF(E85="","",VLOOKUP(W85, 'G-3 Multipliers'!$P$2:$Q$6,2,FALSE)),"")</f>
        <v/>
      </c>
      <c r="Y85" s="390" t="str">
        <f t="shared" si="10"/>
        <v/>
      </c>
      <c r="Z85" s="194"/>
      <c r="AA85" s="195"/>
      <c r="AB85" s="120"/>
      <c r="AE85" s="40" t="str">
        <f t="shared" si="7"/>
        <v/>
      </c>
    </row>
    <row r="86" spans="1:31" x14ac:dyDescent="0.25">
      <c r="A86" s="35" t="str">
        <f>IFERROR(INDEX('G-8 Condition Look up'!$I$4:$I$135,MATCH(F86,'G-8 Condition Look up'!$A$4:$A$135,0)),"")</f>
        <v/>
      </c>
      <c r="C86" s="299" t="str">
        <f>IFERROR(INDEX('G-1 All Habitats'!$AG$3:$AG$17,MATCH(D86,'G-1 All Habitats'!$AF$3:$AF$17,0)),"")</f>
        <v/>
      </c>
      <c r="D86" s="54"/>
      <c r="E86" s="61"/>
      <c r="F86" s="296" t="str">
        <f>IFERROR(INDEX('G-1 All Habitats'!$B$3:$B$134,MATCH(E86,'G-1 All Habitats'!$A$3:$A$134,0)),"")</f>
        <v/>
      </c>
      <c r="G86" s="53"/>
      <c r="H86" s="362" t="str">
        <f>IF(F86="","",VLOOKUP(F86,'G-1 All Habitats'!$B$2:$M$134,10,FALSE))</f>
        <v/>
      </c>
      <c r="I86" s="363" t="str">
        <f>IFERROR(VLOOKUP(H86,'G-1 All Habitats'!$V$3:$W$7,2,FALSE),"")</f>
        <v/>
      </c>
      <c r="J86" s="54"/>
      <c r="K86" s="363" t="str">
        <f>IFERROR(INDEX('G-8 Condition Look up'!$A$3:$H$135,MATCH(F86,'G-8 Condition Look up'!$A$3:$A$135,0),MATCH(J86,'G-8 Condition Look up'!$A$3:$H$3,0)),"")</f>
        <v/>
      </c>
      <c r="L86" s="54"/>
      <c r="M86" s="370" t="str">
        <f>IF(L86="","",IF(VLOOKUP(L86,'G-3 Multipliers'!$L$3:$N$6,2,FALSE)=0,"Spatial Data Missing",VLOOKUP(L86,'G-3 Multipliers'!$L$3:$N$6,2,FALSE)))</f>
        <v/>
      </c>
      <c r="N86" s="368" t="str">
        <f>IF(L86="","",IF(VLOOKUP(L86,'G-3 Multipliers'!$L$3:$N$6,3,FALSE)=0,"Spatial Data Missing",VLOOKUP(L86,'G-3 Multipliers'!$L$3:$N$6,3,FALSE)))</f>
        <v/>
      </c>
      <c r="O86" s="362" t="str">
        <f t="shared" si="6"/>
        <v/>
      </c>
      <c r="P86" s="63"/>
      <c r="Q86" s="63"/>
      <c r="R86" s="370" t="str">
        <f t="shared" si="8"/>
        <v/>
      </c>
      <c r="S86" s="383" t="str">
        <f t="shared" si="9"/>
        <v/>
      </c>
      <c r="T86" s="384"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losses",P86&gt;=O86),"Low",VLOOKUP(F86,'G-3 Multipliers'!$A$2:$E$134,4,FALSE))))</f>
        <v/>
      </c>
      <c r="X86" s="386" t="str">
        <f>IFERROR(IF(E86="","",VLOOKUP(W86, 'G-3 Multipliers'!$P$2:$Q$6,2,FALSE)),"")</f>
        <v/>
      </c>
      <c r="Y86" s="390" t="str">
        <f t="shared" si="10"/>
        <v/>
      </c>
      <c r="Z86" s="194"/>
      <c r="AA86" s="195"/>
      <c r="AB86" s="120"/>
      <c r="AE86" s="40" t="str">
        <f t="shared" si="7"/>
        <v/>
      </c>
    </row>
    <row r="87" spans="1:31" x14ac:dyDescent="0.25">
      <c r="A87" s="35" t="str">
        <f>IFERROR(INDEX('G-8 Condition Look up'!$I$4:$I$135,MATCH(F87,'G-8 Condition Look up'!$A$4:$A$135,0)),"")</f>
        <v/>
      </c>
      <c r="C87" s="299" t="str">
        <f>IFERROR(INDEX('G-1 All Habitats'!$AG$3:$AG$17,MATCH(D87,'G-1 All Habitats'!$AF$3:$AF$17,0)),"")</f>
        <v/>
      </c>
      <c r="D87" s="54"/>
      <c r="E87" s="61"/>
      <c r="F87" s="296" t="str">
        <f>IFERROR(INDEX('G-1 All Habitats'!$B$3:$B$134,MATCH(E87,'G-1 All Habitats'!$A$3:$A$134,0)),"")</f>
        <v/>
      </c>
      <c r="G87" s="53"/>
      <c r="H87" s="362" t="str">
        <f>IF(F87="","",VLOOKUP(F87,'G-1 All Habitats'!$B$2:$M$134,10,FALSE))</f>
        <v/>
      </c>
      <c r="I87" s="363" t="str">
        <f>IFERROR(VLOOKUP(H87,'G-1 All Habitats'!$V$3:$W$7,2,FALSE),"")</f>
        <v/>
      </c>
      <c r="J87" s="54"/>
      <c r="K87" s="363" t="str">
        <f>IFERROR(INDEX('G-8 Condition Look up'!$A$3:$H$135,MATCH(F87,'G-8 Condition Look up'!$A$3:$A$135,0),MATCH(J87,'G-8 Condition Look up'!$A$3:$H$3,0)),"")</f>
        <v/>
      </c>
      <c r="L87" s="54"/>
      <c r="M87" s="370" t="str">
        <f>IF(L87="","",IF(VLOOKUP(L87,'G-3 Multipliers'!$L$3:$N$6,2,FALSE)=0,"Spatial Data Missing",VLOOKUP(L87,'G-3 Multipliers'!$L$3:$N$6,2,FALSE)))</f>
        <v/>
      </c>
      <c r="N87" s="368" t="str">
        <f>IF(L87="","",IF(VLOOKUP(L87,'G-3 Multipliers'!$L$3:$N$6,3,FALSE)=0,"Spatial Data Missing",VLOOKUP(L87,'G-3 Multipliers'!$L$3:$N$6,3,FALSE)))</f>
        <v/>
      </c>
      <c r="O87" s="362" t="str">
        <f t="shared" si="6"/>
        <v/>
      </c>
      <c r="P87" s="63"/>
      <c r="Q87" s="63"/>
      <c r="R87" s="370" t="str">
        <f t="shared" si="8"/>
        <v/>
      </c>
      <c r="S87" s="383" t="str">
        <f t="shared" si="9"/>
        <v/>
      </c>
      <c r="T87" s="384"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losses",P87&gt;=O87),"Low",VLOOKUP(F87,'G-3 Multipliers'!$A$2:$E$134,4,FALSE))))</f>
        <v/>
      </c>
      <c r="X87" s="386" t="str">
        <f>IFERROR(IF(E87="","",VLOOKUP(W87, 'G-3 Multipliers'!$P$2:$Q$6,2,FALSE)),"")</f>
        <v/>
      </c>
      <c r="Y87" s="390" t="str">
        <f t="shared" si="10"/>
        <v/>
      </c>
      <c r="Z87" s="194"/>
      <c r="AA87" s="195"/>
      <c r="AB87" s="120"/>
      <c r="AE87" s="40" t="str">
        <f t="shared" si="7"/>
        <v/>
      </c>
    </row>
    <row r="88" spans="1:31" x14ac:dyDescent="0.25">
      <c r="A88" s="35" t="str">
        <f>IFERROR(INDEX('G-8 Condition Look up'!$I$4:$I$135,MATCH(F88,'G-8 Condition Look up'!$A$4:$A$135,0)),"")</f>
        <v/>
      </c>
      <c r="C88" s="299" t="str">
        <f>IFERROR(INDEX('G-1 All Habitats'!$AG$3:$AG$17,MATCH(D88,'G-1 All Habitats'!$AF$3:$AF$17,0)),"")</f>
        <v/>
      </c>
      <c r="D88" s="54"/>
      <c r="E88" s="61"/>
      <c r="F88" s="296" t="str">
        <f>IFERROR(INDEX('G-1 All Habitats'!$B$3:$B$134,MATCH(E88,'G-1 All Habitats'!$A$3:$A$134,0)),"")</f>
        <v/>
      </c>
      <c r="G88" s="53"/>
      <c r="H88" s="362" t="str">
        <f>IF(F88="","",VLOOKUP(F88,'G-1 All Habitats'!$B$2:$M$134,10,FALSE))</f>
        <v/>
      </c>
      <c r="I88" s="363" t="str">
        <f>IFERROR(VLOOKUP(H88,'G-1 All Habitats'!$V$3:$W$7,2,FALSE),"")</f>
        <v/>
      </c>
      <c r="J88" s="54"/>
      <c r="K88" s="363" t="str">
        <f>IFERROR(INDEX('G-8 Condition Look up'!$A$3:$H$135,MATCH(F88,'G-8 Condition Look up'!$A$3:$A$135,0),MATCH(J88,'G-8 Condition Look up'!$A$3:$H$3,0)),"")</f>
        <v/>
      </c>
      <c r="L88" s="54"/>
      <c r="M88" s="370" t="str">
        <f>IF(L88="","",IF(VLOOKUP(L88,'G-3 Multipliers'!$L$3:$N$6,2,FALSE)=0,"Spatial Data Missing",VLOOKUP(L88,'G-3 Multipliers'!$L$3:$N$6,2,FALSE)))</f>
        <v/>
      </c>
      <c r="N88" s="368" t="str">
        <f>IF(L88="","",IF(VLOOKUP(L88,'G-3 Multipliers'!$L$3:$N$6,3,FALSE)=0,"Spatial Data Missing",VLOOKUP(L88,'G-3 Multipliers'!$L$3:$N$6,3,FALSE)))</f>
        <v/>
      </c>
      <c r="O88" s="362" t="str">
        <f t="shared" si="6"/>
        <v/>
      </c>
      <c r="P88" s="63"/>
      <c r="Q88" s="63"/>
      <c r="R88" s="370" t="str">
        <f t="shared" si="8"/>
        <v/>
      </c>
      <c r="S88" s="383" t="str">
        <f t="shared" si="9"/>
        <v/>
      </c>
      <c r="T88" s="384"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losses",P88&gt;=O88),"Low",VLOOKUP(F88,'G-3 Multipliers'!$A$2:$E$134,4,FALSE))))</f>
        <v/>
      </c>
      <c r="X88" s="386" t="str">
        <f>IFERROR(IF(E88="","",VLOOKUP(W88, 'G-3 Multipliers'!$P$2:$Q$6,2,FALSE)),"")</f>
        <v/>
      </c>
      <c r="Y88" s="390" t="str">
        <f t="shared" si="10"/>
        <v/>
      </c>
      <c r="Z88" s="194"/>
      <c r="AA88" s="195"/>
      <c r="AB88" s="120"/>
      <c r="AE88" s="40" t="str">
        <f t="shared" si="7"/>
        <v/>
      </c>
    </row>
    <row r="89" spans="1:31" x14ac:dyDescent="0.25">
      <c r="A89" s="35" t="str">
        <f>IFERROR(INDEX('G-8 Condition Look up'!$I$4:$I$135,MATCH(F89,'G-8 Condition Look up'!$A$4:$A$135,0)),"")</f>
        <v/>
      </c>
      <c r="C89" s="299" t="str">
        <f>IFERROR(INDEX('G-1 All Habitats'!$AG$3:$AG$17,MATCH(D89,'G-1 All Habitats'!$AF$3:$AF$17,0)),"")</f>
        <v/>
      </c>
      <c r="D89" s="54"/>
      <c r="E89" s="61"/>
      <c r="F89" s="296" t="str">
        <f>IFERROR(INDEX('G-1 All Habitats'!$B$3:$B$134,MATCH(E89,'G-1 All Habitats'!$A$3:$A$134,0)),"")</f>
        <v/>
      </c>
      <c r="G89" s="53"/>
      <c r="H89" s="362" t="str">
        <f>IF(F89="","",VLOOKUP(F89,'G-1 All Habitats'!$B$2:$M$134,10,FALSE))</f>
        <v/>
      </c>
      <c r="I89" s="363" t="str">
        <f>IFERROR(VLOOKUP(H89,'G-1 All Habitats'!$V$3:$W$7,2,FALSE),"")</f>
        <v/>
      </c>
      <c r="J89" s="54"/>
      <c r="K89" s="363" t="str">
        <f>IFERROR(INDEX('G-8 Condition Look up'!$A$3:$H$135,MATCH(F89,'G-8 Condition Look up'!$A$3:$A$135,0),MATCH(J89,'G-8 Condition Look up'!$A$3:$H$3,0)),"")</f>
        <v/>
      </c>
      <c r="L89" s="54"/>
      <c r="M89" s="370" t="str">
        <f>IF(L89="","",IF(VLOOKUP(L89,'G-3 Multipliers'!$L$3:$N$6,2,FALSE)=0,"Spatial Data Missing",VLOOKUP(L89,'G-3 Multipliers'!$L$3:$N$6,2,FALSE)))</f>
        <v/>
      </c>
      <c r="N89" s="368" t="str">
        <f>IF(L89="","",IF(VLOOKUP(L89,'G-3 Multipliers'!$L$3:$N$6,3,FALSE)=0,"Spatial Data Missing",VLOOKUP(L89,'G-3 Multipliers'!$L$3:$N$6,3,FALSE)))</f>
        <v/>
      </c>
      <c r="O89" s="362" t="str">
        <f t="shared" si="6"/>
        <v/>
      </c>
      <c r="P89" s="63"/>
      <c r="Q89" s="63"/>
      <c r="R89" s="370" t="str">
        <f t="shared" si="8"/>
        <v/>
      </c>
      <c r="S89" s="383" t="str">
        <f t="shared" si="9"/>
        <v/>
      </c>
      <c r="T89" s="384"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losses",P89&gt;=O89),"Low",VLOOKUP(F89,'G-3 Multipliers'!$A$2:$E$134,4,FALSE))))</f>
        <v/>
      </c>
      <c r="X89" s="386" t="str">
        <f>IFERROR(IF(E89="","",VLOOKUP(W89, 'G-3 Multipliers'!$P$2:$Q$6,2,FALSE)),"")</f>
        <v/>
      </c>
      <c r="Y89" s="390" t="str">
        <f t="shared" si="10"/>
        <v/>
      </c>
      <c r="Z89" s="194"/>
      <c r="AA89" s="195"/>
      <c r="AB89" s="120"/>
      <c r="AE89" s="40" t="str">
        <f t="shared" si="7"/>
        <v/>
      </c>
    </row>
    <row r="90" spans="1:31" x14ac:dyDescent="0.25">
      <c r="A90" s="35" t="str">
        <f>IFERROR(INDEX('G-8 Condition Look up'!$I$4:$I$135,MATCH(F90,'G-8 Condition Look up'!$A$4:$A$135,0)),"")</f>
        <v/>
      </c>
      <c r="C90" s="299" t="str">
        <f>IFERROR(INDEX('G-1 All Habitats'!$AG$3:$AG$17,MATCH(D90,'G-1 All Habitats'!$AF$3:$AF$17,0)),"")</f>
        <v/>
      </c>
      <c r="D90" s="54"/>
      <c r="E90" s="61"/>
      <c r="F90" s="296" t="str">
        <f>IFERROR(INDEX('G-1 All Habitats'!$B$3:$B$134,MATCH(E90,'G-1 All Habitats'!$A$3:$A$134,0)),"")</f>
        <v/>
      </c>
      <c r="G90" s="53"/>
      <c r="H90" s="362" t="str">
        <f>IF(F90="","",VLOOKUP(F90,'G-1 All Habitats'!$B$2:$M$134,10,FALSE))</f>
        <v/>
      </c>
      <c r="I90" s="363" t="str">
        <f>IFERROR(VLOOKUP(H90,'G-1 All Habitats'!$V$3:$W$7,2,FALSE),"")</f>
        <v/>
      </c>
      <c r="J90" s="54"/>
      <c r="K90" s="363" t="str">
        <f>IFERROR(INDEX('G-8 Condition Look up'!$A$3:$H$135,MATCH(F90,'G-8 Condition Look up'!$A$3:$A$135,0),MATCH(J90,'G-8 Condition Look up'!$A$3:$H$3,0)),"")</f>
        <v/>
      </c>
      <c r="L90" s="54"/>
      <c r="M90" s="370" t="str">
        <f>IF(L90="","",IF(VLOOKUP(L90,'G-3 Multipliers'!$L$3:$N$6,2,FALSE)=0,"Spatial Data Missing",VLOOKUP(L90,'G-3 Multipliers'!$L$3:$N$6,2,FALSE)))</f>
        <v/>
      </c>
      <c r="N90" s="368" t="str">
        <f>IF(L90="","",IF(VLOOKUP(L90,'G-3 Multipliers'!$L$3:$N$6,3,FALSE)=0,"Spatial Data Missing",VLOOKUP(L90,'G-3 Multipliers'!$L$3:$N$6,3,FALSE)))</f>
        <v/>
      </c>
      <c r="O90" s="362" t="str">
        <f t="shared" si="6"/>
        <v/>
      </c>
      <c r="P90" s="63"/>
      <c r="Q90" s="63"/>
      <c r="R90" s="370" t="str">
        <f t="shared" si="8"/>
        <v/>
      </c>
      <c r="S90" s="383" t="str">
        <f t="shared" si="9"/>
        <v/>
      </c>
      <c r="T90" s="384"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losses",P90&gt;=O90),"Low",VLOOKUP(F90,'G-3 Multipliers'!$A$2:$E$134,4,FALSE))))</f>
        <v/>
      </c>
      <c r="X90" s="386" t="str">
        <f>IFERROR(IF(E90="","",VLOOKUP(W90, 'G-3 Multipliers'!$P$2:$Q$6,2,FALSE)),"")</f>
        <v/>
      </c>
      <c r="Y90" s="390" t="str">
        <f t="shared" si="10"/>
        <v/>
      </c>
      <c r="Z90" s="194"/>
      <c r="AA90" s="195"/>
      <c r="AB90" s="120"/>
      <c r="AE90" s="40" t="str">
        <f t="shared" si="7"/>
        <v/>
      </c>
    </row>
    <row r="91" spans="1:31" x14ac:dyDescent="0.25">
      <c r="A91" s="35" t="str">
        <f>IFERROR(INDEX('G-8 Condition Look up'!$I$4:$I$135,MATCH(F91,'G-8 Condition Look up'!$A$4:$A$135,0)),"")</f>
        <v/>
      </c>
      <c r="C91" s="299" t="str">
        <f>IFERROR(INDEX('G-1 All Habitats'!$AG$3:$AG$17,MATCH(D91,'G-1 All Habitats'!$AF$3:$AF$17,0)),"")</f>
        <v/>
      </c>
      <c r="D91" s="54"/>
      <c r="E91" s="61"/>
      <c r="F91" s="296" t="str">
        <f>IFERROR(INDEX('G-1 All Habitats'!$B$3:$B$134,MATCH(E91,'G-1 All Habitats'!$A$3:$A$134,0)),"")</f>
        <v/>
      </c>
      <c r="G91" s="53"/>
      <c r="H91" s="362" t="str">
        <f>IF(F91="","",VLOOKUP(F91,'G-1 All Habitats'!$B$2:$M$134,10,FALSE))</f>
        <v/>
      </c>
      <c r="I91" s="363" t="str">
        <f>IFERROR(VLOOKUP(H91,'G-1 All Habitats'!$V$3:$W$7,2,FALSE),"")</f>
        <v/>
      </c>
      <c r="J91" s="54"/>
      <c r="K91" s="363" t="str">
        <f>IFERROR(INDEX('G-8 Condition Look up'!$A$3:$H$135,MATCH(F91,'G-8 Condition Look up'!$A$3:$A$135,0),MATCH(J91,'G-8 Condition Look up'!$A$3:$H$3,0)),"")</f>
        <v/>
      </c>
      <c r="L91" s="54"/>
      <c r="M91" s="370" t="str">
        <f>IF(L91="","",IF(VLOOKUP(L91,'G-3 Multipliers'!$L$3:$N$6,2,FALSE)=0,"Spatial Data Missing",VLOOKUP(L91,'G-3 Multipliers'!$L$3:$N$6,2,FALSE)))</f>
        <v/>
      </c>
      <c r="N91" s="368" t="str">
        <f>IF(L91="","",IF(VLOOKUP(L91,'G-3 Multipliers'!$L$3:$N$6,3,FALSE)=0,"Spatial Data Missing",VLOOKUP(L91,'G-3 Multipliers'!$L$3:$N$6,3,FALSE)))</f>
        <v/>
      </c>
      <c r="O91" s="362" t="str">
        <f t="shared" si="6"/>
        <v/>
      </c>
      <c r="P91" s="63"/>
      <c r="Q91" s="63"/>
      <c r="R91" s="370" t="str">
        <f t="shared" si="8"/>
        <v/>
      </c>
      <c r="S91" s="383" t="str">
        <f t="shared" si="9"/>
        <v/>
      </c>
      <c r="T91" s="384"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losses",P91&gt;=O91),"Low",VLOOKUP(F91,'G-3 Multipliers'!$A$2:$E$134,4,FALSE))))</f>
        <v/>
      </c>
      <c r="X91" s="386" t="str">
        <f>IFERROR(IF(E91="","",VLOOKUP(W91, 'G-3 Multipliers'!$P$2:$Q$6,2,FALSE)),"")</f>
        <v/>
      </c>
      <c r="Y91" s="390" t="str">
        <f t="shared" si="10"/>
        <v/>
      </c>
      <c r="Z91" s="194"/>
      <c r="AA91" s="195"/>
      <c r="AB91" s="120"/>
      <c r="AE91" s="40" t="str">
        <f t="shared" si="7"/>
        <v/>
      </c>
    </row>
    <row r="92" spans="1:31" x14ac:dyDescent="0.25">
      <c r="A92" s="35" t="str">
        <f>IFERROR(INDEX('G-8 Condition Look up'!$I$4:$I$135,MATCH(F92,'G-8 Condition Look up'!$A$4:$A$135,0)),"")</f>
        <v/>
      </c>
      <c r="C92" s="299" t="str">
        <f>IFERROR(INDEX('G-1 All Habitats'!$AG$3:$AG$17,MATCH(D92,'G-1 All Habitats'!$AF$3:$AF$17,0)),"")</f>
        <v/>
      </c>
      <c r="D92" s="54"/>
      <c r="E92" s="61"/>
      <c r="F92" s="296" t="str">
        <f>IFERROR(INDEX('G-1 All Habitats'!$B$3:$B$134,MATCH(E92,'G-1 All Habitats'!$A$3:$A$134,0)),"")</f>
        <v/>
      </c>
      <c r="G92" s="53"/>
      <c r="H92" s="362" t="str">
        <f>IF(F92="","",VLOOKUP(F92,'G-1 All Habitats'!$B$2:$M$134,10,FALSE))</f>
        <v/>
      </c>
      <c r="I92" s="363" t="str">
        <f>IFERROR(VLOOKUP(H92,'G-1 All Habitats'!$V$3:$W$7,2,FALSE),"")</f>
        <v/>
      </c>
      <c r="J92" s="54"/>
      <c r="K92" s="363" t="str">
        <f>IFERROR(INDEX('G-8 Condition Look up'!$A$3:$H$135,MATCH(F92,'G-8 Condition Look up'!$A$3:$A$135,0),MATCH(J92,'G-8 Condition Look up'!$A$3:$H$3,0)),"")</f>
        <v/>
      </c>
      <c r="L92" s="54"/>
      <c r="M92" s="370" t="str">
        <f>IF(L92="","",IF(VLOOKUP(L92,'G-3 Multipliers'!$L$3:$N$6,2,FALSE)=0,"Spatial Data Missing",VLOOKUP(L92,'G-3 Multipliers'!$L$3:$N$6,2,FALSE)))</f>
        <v/>
      </c>
      <c r="N92" s="368" t="str">
        <f>IF(L92="","",IF(VLOOKUP(L92,'G-3 Multipliers'!$L$3:$N$6,3,FALSE)=0,"Spatial Data Missing",VLOOKUP(L92,'G-3 Multipliers'!$L$3:$N$6,3,FALSE)))</f>
        <v/>
      </c>
      <c r="O92" s="362" t="str">
        <f t="shared" si="6"/>
        <v/>
      </c>
      <c r="P92" s="63"/>
      <c r="Q92" s="63"/>
      <c r="R92" s="370" t="str">
        <f t="shared" si="8"/>
        <v/>
      </c>
      <c r="S92" s="383" t="str">
        <f t="shared" si="9"/>
        <v/>
      </c>
      <c r="T92" s="384"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losses",P92&gt;=O92),"Low",VLOOKUP(F92,'G-3 Multipliers'!$A$2:$E$134,4,FALSE))))</f>
        <v/>
      </c>
      <c r="X92" s="386" t="str">
        <f>IFERROR(IF(E92="","",VLOOKUP(W92, 'G-3 Multipliers'!$P$2:$Q$6,2,FALSE)),"")</f>
        <v/>
      </c>
      <c r="Y92" s="390" t="str">
        <f t="shared" si="10"/>
        <v/>
      </c>
      <c r="Z92" s="194"/>
      <c r="AA92" s="195"/>
      <c r="AB92" s="120"/>
      <c r="AE92" s="40" t="str">
        <f t="shared" si="7"/>
        <v/>
      </c>
    </row>
    <row r="93" spans="1:31" x14ac:dyDescent="0.25">
      <c r="A93" s="35" t="str">
        <f>IFERROR(INDEX('G-8 Condition Look up'!$I$4:$I$135,MATCH(F93,'G-8 Condition Look up'!$A$4:$A$135,0)),"")</f>
        <v/>
      </c>
      <c r="C93" s="299" t="str">
        <f>IFERROR(INDEX('G-1 All Habitats'!$AG$3:$AG$17,MATCH(D93,'G-1 All Habitats'!$AF$3:$AF$17,0)),"")</f>
        <v/>
      </c>
      <c r="D93" s="54"/>
      <c r="E93" s="61"/>
      <c r="F93" s="296" t="str">
        <f>IFERROR(INDEX('G-1 All Habitats'!$B$3:$B$134,MATCH(E93,'G-1 All Habitats'!$A$3:$A$134,0)),"")</f>
        <v/>
      </c>
      <c r="G93" s="53"/>
      <c r="H93" s="362" t="str">
        <f>IF(F93="","",VLOOKUP(F93,'G-1 All Habitats'!$B$2:$M$134,10,FALSE))</f>
        <v/>
      </c>
      <c r="I93" s="363" t="str">
        <f>IFERROR(VLOOKUP(H93,'G-1 All Habitats'!$V$3:$W$7,2,FALSE),"")</f>
        <v/>
      </c>
      <c r="J93" s="54"/>
      <c r="K93" s="363" t="str">
        <f>IFERROR(INDEX('G-8 Condition Look up'!$A$3:$H$135,MATCH(F93,'G-8 Condition Look up'!$A$3:$A$135,0),MATCH(J93,'G-8 Condition Look up'!$A$3:$H$3,0)),"")</f>
        <v/>
      </c>
      <c r="L93" s="54"/>
      <c r="M93" s="370" t="str">
        <f>IF(L93="","",IF(VLOOKUP(L93,'G-3 Multipliers'!$L$3:$N$6,2,FALSE)=0,"Spatial Data Missing",VLOOKUP(L93,'G-3 Multipliers'!$L$3:$N$6,2,FALSE)))</f>
        <v/>
      </c>
      <c r="N93" s="368" t="str">
        <f>IF(L93="","",IF(VLOOKUP(L93,'G-3 Multipliers'!$L$3:$N$6,3,FALSE)=0,"Spatial Data Missing",VLOOKUP(L93,'G-3 Multipliers'!$L$3:$N$6,3,FALSE)))</f>
        <v/>
      </c>
      <c r="O93" s="362" t="str">
        <f t="shared" si="6"/>
        <v/>
      </c>
      <c r="P93" s="63"/>
      <c r="Q93" s="63"/>
      <c r="R93" s="370" t="str">
        <f t="shared" si="8"/>
        <v/>
      </c>
      <c r="S93" s="383" t="str">
        <f t="shared" si="9"/>
        <v/>
      </c>
      <c r="T93" s="384"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losses",P93&gt;=O93),"Low",VLOOKUP(F93,'G-3 Multipliers'!$A$2:$E$134,4,FALSE))))</f>
        <v/>
      </c>
      <c r="X93" s="386" t="str">
        <f>IFERROR(IF(E93="","",VLOOKUP(W93, 'G-3 Multipliers'!$P$2:$Q$6,2,FALSE)),"")</f>
        <v/>
      </c>
      <c r="Y93" s="390" t="str">
        <f t="shared" si="10"/>
        <v/>
      </c>
      <c r="Z93" s="194"/>
      <c r="AA93" s="195"/>
      <c r="AB93" s="120"/>
      <c r="AE93" s="40" t="str">
        <f t="shared" si="7"/>
        <v/>
      </c>
    </row>
    <row r="94" spans="1:31" x14ac:dyDescent="0.25">
      <c r="A94" s="35" t="str">
        <f>IFERROR(INDEX('G-8 Condition Look up'!$I$4:$I$135,MATCH(F94,'G-8 Condition Look up'!$A$4:$A$135,0)),"")</f>
        <v/>
      </c>
      <c r="C94" s="299" t="str">
        <f>IFERROR(INDEX('G-1 All Habitats'!$AG$3:$AG$17,MATCH(D94,'G-1 All Habitats'!$AF$3:$AF$17,0)),"")</f>
        <v/>
      </c>
      <c r="D94" s="54"/>
      <c r="E94" s="61"/>
      <c r="F94" s="296" t="str">
        <f>IFERROR(INDEX('G-1 All Habitats'!$B$3:$B$134,MATCH(E94,'G-1 All Habitats'!$A$3:$A$134,0)),"")</f>
        <v/>
      </c>
      <c r="G94" s="53"/>
      <c r="H94" s="362" t="str">
        <f>IF(F94="","",VLOOKUP(F94,'G-1 All Habitats'!$B$2:$M$134,10,FALSE))</f>
        <v/>
      </c>
      <c r="I94" s="363" t="str">
        <f>IFERROR(VLOOKUP(H94,'G-1 All Habitats'!$V$3:$W$7,2,FALSE),"")</f>
        <v/>
      </c>
      <c r="J94" s="54"/>
      <c r="K94" s="363" t="str">
        <f>IFERROR(INDEX('G-8 Condition Look up'!$A$3:$H$135,MATCH(F94,'G-8 Condition Look up'!$A$3:$A$135,0),MATCH(J94,'G-8 Condition Look up'!$A$3:$H$3,0)),"")</f>
        <v/>
      </c>
      <c r="L94" s="54"/>
      <c r="M94" s="370" t="str">
        <f>IF(L94="","",IF(VLOOKUP(L94,'G-3 Multipliers'!$L$3:$N$6,2,FALSE)=0,"Spatial Data Missing",VLOOKUP(L94,'G-3 Multipliers'!$L$3:$N$6,2,FALSE)))</f>
        <v/>
      </c>
      <c r="N94" s="368" t="str">
        <f>IF(L94="","",IF(VLOOKUP(L94,'G-3 Multipliers'!$L$3:$N$6,3,FALSE)=0,"Spatial Data Missing",VLOOKUP(L94,'G-3 Multipliers'!$L$3:$N$6,3,FALSE)))</f>
        <v/>
      </c>
      <c r="O94" s="362" t="str">
        <f t="shared" si="6"/>
        <v/>
      </c>
      <c r="P94" s="63"/>
      <c r="Q94" s="63"/>
      <c r="R94" s="370" t="str">
        <f t="shared" si="8"/>
        <v/>
      </c>
      <c r="S94" s="383" t="str">
        <f t="shared" si="9"/>
        <v/>
      </c>
      <c r="T94" s="384"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losses",P94&gt;=O94),"Low",VLOOKUP(F94,'G-3 Multipliers'!$A$2:$E$134,4,FALSE))))</f>
        <v/>
      </c>
      <c r="X94" s="386" t="str">
        <f>IFERROR(IF(E94="","",VLOOKUP(W94, 'G-3 Multipliers'!$P$2:$Q$6,2,FALSE)),"")</f>
        <v/>
      </c>
      <c r="Y94" s="390" t="str">
        <f t="shared" si="10"/>
        <v/>
      </c>
      <c r="Z94" s="194"/>
      <c r="AA94" s="195"/>
      <c r="AB94" s="120"/>
      <c r="AE94" s="40" t="str">
        <f t="shared" si="7"/>
        <v/>
      </c>
    </row>
    <row r="95" spans="1:31" x14ac:dyDescent="0.25">
      <c r="A95" s="35" t="str">
        <f>IFERROR(INDEX('G-8 Condition Look up'!$I$4:$I$135,MATCH(F95,'G-8 Condition Look up'!$A$4:$A$135,0)),"")</f>
        <v/>
      </c>
      <c r="C95" s="299" t="str">
        <f>IFERROR(INDEX('G-1 All Habitats'!$AG$3:$AG$17,MATCH(D95,'G-1 All Habitats'!$AF$3:$AF$17,0)),"")</f>
        <v/>
      </c>
      <c r="D95" s="54"/>
      <c r="E95" s="61"/>
      <c r="F95" s="296" t="str">
        <f>IFERROR(INDEX('G-1 All Habitats'!$B$3:$B$134,MATCH(E95,'G-1 All Habitats'!$A$3:$A$134,0)),"")</f>
        <v/>
      </c>
      <c r="G95" s="53"/>
      <c r="H95" s="362" t="str">
        <f>IF(F95="","",VLOOKUP(F95,'G-1 All Habitats'!$B$2:$M$134,10,FALSE))</f>
        <v/>
      </c>
      <c r="I95" s="363" t="str">
        <f>IFERROR(VLOOKUP(H95,'G-1 All Habitats'!$V$3:$W$7,2,FALSE),"")</f>
        <v/>
      </c>
      <c r="J95" s="54"/>
      <c r="K95" s="363" t="str">
        <f>IFERROR(INDEX('G-8 Condition Look up'!$A$3:$H$135,MATCH(F95,'G-8 Condition Look up'!$A$3:$A$135,0),MATCH(J95,'G-8 Condition Look up'!$A$3:$H$3,0)),"")</f>
        <v/>
      </c>
      <c r="L95" s="54"/>
      <c r="M95" s="370" t="str">
        <f>IF(L95="","",IF(VLOOKUP(L95,'G-3 Multipliers'!$L$3:$N$6,2,FALSE)=0,"Spatial Data Missing",VLOOKUP(L95,'G-3 Multipliers'!$L$3:$N$6,2,FALSE)))</f>
        <v/>
      </c>
      <c r="N95" s="368" t="str">
        <f>IF(L95="","",IF(VLOOKUP(L95,'G-3 Multipliers'!$L$3:$N$6,3,FALSE)=0,"Spatial Data Missing",VLOOKUP(L95,'G-3 Multipliers'!$L$3:$N$6,3,FALSE)))</f>
        <v/>
      </c>
      <c r="O95" s="362" t="str">
        <f t="shared" si="6"/>
        <v/>
      </c>
      <c r="P95" s="63"/>
      <c r="Q95" s="63"/>
      <c r="R95" s="370" t="str">
        <f t="shared" si="8"/>
        <v/>
      </c>
      <c r="S95" s="383" t="str">
        <f t="shared" si="9"/>
        <v/>
      </c>
      <c r="T95" s="384"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losses",P95&gt;=O95),"Low",VLOOKUP(F95,'G-3 Multipliers'!$A$2:$E$134,4,FALSE))))</f>
        <v/>
      </c>
      <c r="X95" s="386" t="str">
        <f>IFERROR(IF(E95="","",VLOOKUP(W95, 'G-3 Multipliers'!$P$2:$Q$6,2,FALSE)),"")</f>
        <v/>
      </c>
      <c r="Y95" s="390" t="str">
        <f t="shared" si="10"/>
        <v/>
      </c>
      <c r="Z95" s="194"/>
      <c r="AA95" s="195"/>
      <c r="AB95" s="120"/>
      <c r="AE95" s="40" t="str">
        <f t="shared" si="7"/>
        <v/>
      </c>
    </row>
    <row r="96" spans="1:31" x14ac:dyDescent="0.25">
      <c r="A96" s="35" t="str">
        <f>IFERROR(INDEX('G-8 Condition Look up'!$I$4:$I$135,MATCH(F96,'G-8 Condition Look up'!$A$4:$A$135,0)),"")</f>
        <v/>
      </c>
      <c r="C96" s="299" t="str">
        <f>IFERROR(INDEX('G-1 All Habitats'!$AG$3:$AG$17,MATCH(D96,'G-1 All Habitats'!$AF$3:$AF$17,0)),"")</f>
        <v/>
      </c>
      <c r="D96" s="54"/>
      <c r="E96" s="61"/>
      <c r="F96" s="296" t="str">
        <f>IFERROR(INDEX('G-1 All Habitats'!$B$3:$B$134,MATCH(E96,'G-1 All Habitats'!$A$3:$A$134,0)),"")</f>
        <v/>
      </c>
      <c r="G96" s="53"/>
      <c r="H96" s="362" t="str">
        <f>IF(F96="","",VLOOKUP(F96,'G-1 All Habitats'!$B$2:$M$134,10,FALSE))</f>
        <v/>
      </c>
      <c r="I96" s="363" t="str">
        <f>IFERROR(VLOOKUP(H96,'G-1 All Habitats'!$V$3:$W$7,2,FALSE),"")</f>
        <v/>
      </c>
      <c r="J96" s="54"/>
      <c r="K96" s="363" t="str">
        <f>IFERROR(INDEX('G-8 Condition Look up'!$A$3:$H$135,MATCH(F96,'G-8 Condition Look up'!$A$3:$A$135,0),MATCH(J96,'G-8 Condition Look up'!$A$3:$H$3,0)),"")</f>
        <v/>
      </c>
      <c r="L96" s="54"/>
      <c r="M96" s="370" t="str">
        <f>IF(L96="","",IF(VLOOKUP(L96,'G-3 Multipliers'!$L$3:$N$6,2,FALSE)=0,"Spatial Data Missing",VLOOKUP(L96,'G-3 Multipliers'!$L$3:$N$6,2,FALSE)))</f>
        <v/>
      </c>
      <c r="N96" s="368" t="str">
        <f>IF(L96="","",IF(VLOOKUP(L96,'G-3 Multipliers'!$L$3:$N$6,3,FALSE)=0,"Spatial Data Missing",VLOOKUP(L96,'G-3 Multipliers'!$L$3:$N$6,3,FALSE)))</f>
        <v/>
      </c>
      <c r="O96" s="362" t="str">
        <f t="shared" si="6"/>
        <v/>
      </c>
      <c r="P96" s="63"/>
      <c r="Q96" s="63"/>
      <c r="R96" s="370" t="str">
        <f t="shared" si="8"/>
        <v/>
      </c>
      <c r="S96" s="383" t="str">
        <f t="shared" si="9"/>
        <v/>
      </c>
      <c r="T96" s="384"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losses",P96&gt;=O96),"Low",VLOOKUP(F96,'G-3 Multipliers'!$A$2:$E$134,4,FALSE))))</f>
        <v/>
      </c>
      <c r="X96" s="386" t="str">
        <f>IFERROR(IF(E96="","",VLOOKUP(W96, 'G-3 Multipliers'!$P$2:$Q$6,2,FALSE)),"")</f>
        <v/>
      </c>
      <c r="Y96" s="390" t="str">
        <f t="shared" si="10"/>
        <v/>
      </c>
      <c r="Z96" s="194"/>
      <c r="AA96" s="195"/>
      <c r="AB96" s="120"/>
      <c r="AE96" s="40" t="str">
        <f t="shared" si="7"/>
        <v/>
      </c>
    </row>
    <row r="97" spans="1:31" x14ac:dyDescent="0.25">
      <c r="A97" s="35" t="str">
        <f>IFERROR(INDEX('G-8 Condition Look up'!$I$4:$I$135,MATCH(F97,'G-8 Condition Look up'!$A$4:$A$135,0)),"")</f>
        <v/>
      </c>
      <c r="C97" s="299" t="str">
        <f>IFERROR(INDEX('G-1 All Habitats'!$AG$3:$AG$17,MATCH(D97,'G-1 All Habitats'!$AF$3:$AF$17,0)),"")</f>
        <v/>
      </c>
      <c r="D97" s="54"/>
      <c r="E97" s="61"/>
      <c r="F97" s="296" t="str">
        <f>IFERROR(INDEX('G-1 All Habitats'!$B$3:$B$134,MATCH(E97,'G-1 All Habitats'!$A$3:$A$134,0)),"")</f>
        <v/>
      </c>
      <c r="G97" s="53"/>
      <c r="H97" s="362" t="str">
        <f>IF(F97="","",VLOOKUP(F97,'G-1 All Habitats'!$B$2:$M$134,10,FALSE))</f>
        <v/>
      </c>
      <c r="I97" s="363" t="str">
        <f>IFERROR(VLOOKUP(H97,'G-1 All Habitats'!$V$3:$W$7,2,FALSE),"")</f>
        <v/>
      </c>
      <c r="J97" s="54"/>
      <c r="K97" s="363" t="str">
        <f>IFERROR(INDEX('G-8 Condition Look up'!$A$3:$H$135,MATCH(F97,'G-8 Condition Look up'!$A$3:$A$135,0),MATCH(J97,'G-8 Condition Look up'!$A$3:$H$3,0)),"")</f>
        <v/>
      </c>
      <c r="L97" s="54"/>
      <c r="M97" s="370" t="str">
        <f>IF(L97="","",IF(VLOOKUP(L97,'G-3 Multipliers'!$L$3:$N$6,2,FALSE)=0,"Spatial Data Missing",VLOOKUP(L97,'G-3 Multipliers'!$L$3:$N$6,2,FALSE)))</f>
        <v/>
      </c>
      <c r="N97" s="368" t="str">
        <f>IF(L97="","",IF(VLOOKUP(L97,'G-3 Multipliers'!$L$3:$N$6,3,FALSE)=0,"Spatial Data Missing",VLOOKUP(L97,'G-3 Multipliers'!$L$3:$N$6,3,FALSE)))</f>
        <v/>
      </c>
      <c r="O97" s="362" t="str">
        <f t="shared" si="6"/>
        <v/>
      </c>
      <c r="P97" s="63"/>
      <c r="Q97" s="63"/>
      <c r="R97" s="370" t="str">
        <f t="shared" si="8"/>
        <v/>
      </c>
      <c r="S97" s="383" t="str">
        <f t="shared" si="9"/>
        <v/>
      </c>
      <c r="T97" s="384"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losses",P97&gt;=O97),"Low",VLOOKUP(F97,'G-3 Multipliers'!$A$2:$E$134,4,FALSE))))</f>
        <v/>
      </c>
      <c r="X97" s="386" t="str">
        <f>IFERROR(IF(E97="","",VLOOKUP(W97, 'G-3 Multipliers'!$P$2:$Q$6,2,FALSE)),"")</f>
        <v/>
      </c>
      <c r="Y97" s="390" t="str">
        <f t="shared" si="10"/>
        <v/>
      </c>
      <c r="Z97" s="194"/>
      <c r="AA97" s="195"/>
      <c r="AB97" s="120"/>
      <c r="AE97" s="40" t="str">
        <f t="shared" si="7"/>
        <v/>
      </c>
    </row>
    <row r="98" spans="1:31" x14ac:dyDescent="0.25">
      <c r="A98" s="35" t="str">
        <f>IFERROR(INDEX('G-8 Condition Look up'!$I$4:$I$135,MATCH(F98,'G-8 Condition Look up'!$A$4:$A$135,0)),"")</f>
        <v/>
      </c>
      <c r="C98" s="299" t="str">
        <f>IFERROR(INDEX('G-1 All Habitats'!$AG$3:$AG$17,MATCH(D98,'G-1 All Habitats'!$AF$3:$AF$17,0)),"")</f>
        <v/>
      </c>
      <c r="D98" s="54"/>
      <c r="E98" s="61"/>
      <c r="F98" s="296" t="str">
        <f>IFERROR(INDEX('G-1 All Habitats'!$B$3:$B$134,MATCH(E98,'G-1 All Habitats'!$A$3:$A$134,0)),"")</f>
        <v/>
      </c>
      <c r="G98" s="53"/>
      <c r="H98" s="362" t="str">
        <f>IF(F98="","",VLOOKUP(F98,'G-1 All Habitats'!$B$2:$M$134,10,FALSE))</f>
        <v/>
      </c>
      <c r="I98" s="363" t="str">
        <f>IFERROR(VLOOKUP(H98,'G-1 All Habitats'!$V$3:$W$7,2,FALSE),"")</f>
        <v/>
      </c>
      <c r="J98" s="54"/>
      <c r="K98" s="363" t="str">
        <f>IFERROR(INDEX('G-8 Condition Look up'!$A$3:$H$135,MATCH(F98,'G-8 Condition Look up'!$A$3:$A$135,0),MATCH(J98,'G-8 Condition Look up'!$A$3:$H$3,0)),"")</f>
        <v/>
      </c>
      <c r="L98" s="54"/>
      <c r="M98" s="370" t="str">
        <f>IF(L98="","",IF(VLOOKUP(L98,'G-3 Multipliers'!$L$3:$N$6,2,FALSE)=0,"Spatial Data Missing",VLOOKUP(L98,'G-3 Multipliers'!$L$3:$N$6,2,FALSE)))</f>
        <v/>
      </c>
      <c r="N98" s="368" t="str">
        <f>IF(L98="","",IF(VLOOKUP(L98,'G-3 Multipliers'!$L$3:$N$6,3,FALSE)=0,"Spatial Data Missing",VLOOKUP(L98,'G-3 Multipliers'!$L$3:$N$6,3,FALSE)))</f>
        <v/>
      </c>
      <c r="O98" s="362" t="str">
        <f t="shared" si="6"/>
        <v/>
      </c>
      <c r="P98" s="63"/>
      <c r="Q98" s="63"/>
      <c r="R98" s="370" t="str">
        <f t="shared" si="8"/>
        <v/>
      </c>
      <c r="S98" s="383" t="str">
        <f t="shared" si="9"/>
        <v/>
      </c>
      <c r="T98" s="384"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losses",P98&gt;=O98),"Low",VLOOKUP(F98,'G-3 Multipliers'!$A$2:$E$134,4,FALSE))))</f>
        <v/>
      </c>
      <c r="X98" s="386" t="str">
        <f>IFERROR(IF(E98="","",VLOOKUP(W98, 'G-3 Multipliers'!$P$2:$Q$6,2,FALSE)),"")</f>
        <v/>
      </c>
      <c r="Y98" s="390" t="str">
        <f t="shared" si="10"/>
        <v/>
      </c>
      <c r="Z98" s="194"/>
      <c r="AA98" s="195"/>
      <c r="AB98" s="120"/>
      <c r="AE98" s="40" t="str">
        <f t="shared" si="7"/>
        <v/>
      </c>
    </row>
    <row r="99" spans="1:31" x14ac:dyDescent="0.25">
      <c r="A99" s="35" t="str">
        <f>IFERROR(INDEX('G-8 Condition Look up'!$I$4:$I$135,MATCH(F99,'G-8 Condition Look up'!$A$4:$A$135,0)),"")</f>
        <v/>
      </c>
      <c r="C99" s="299" t="str">
        <f>IFERROR(INDEX('G-1 All Habitats'!$AG$3:$AG$17,MATCH(D99,'G-1 All Habitats'!$AF$3:$AF$17,0)),"")</f>
        <v/>
      </c>
      <c r="D99" s="54"/>
      <c r="E99" s="61"/>
      <c r="F99" s="296" t="str">
        <f>IFERROR(INDEX('G-1 All Habitats'!$B$3:$B$134,MATCH(E99,'G-1 All Habitats'!$A$3:$A$134,0)),"")</f>
        <v/>
      </c>
      <c r="G99" s="53"/>
      <c r="H99" s="362" t="str">
        <f>IF(F99="","",VLOOKUP(F99,'G-1 All Habitats'!$B$2:$M$134,10,FALSE))</f>
        <v/>
      </c>
      <c r="I99" s="363" t="str">
        <f>IFERROR(VLOOKUP(H99,'G-1 All Habitats'!$V$3:$W$7,2,FALSE),"")</f>
        <v/>
      </c>
      <c r="J99" s="54"/>
      <c r="K99" s="363" t="str">
        <f>IFERROR(INDEX('G-8 Condition Look up'!$A$3:$H$135,MATCH(F99,'G-8 Condition Look up'!$A$3:$A$135,0),MATCH(J99,'G-8 Condition Look up'!$A$3:$H$3,0)),"")</f>
        <v/>
      </c>
      <c r="L99" s="54"/>
      <c r="M99" s="370" t="str">
        <f>IF(L99="","",IF(VLOOKUP(L99,'G-3 Multipliers'!$L$3:$N$6,2,FALSE)=0,"Spatial Data Missing",VLOOKUP(L99,'G-3 Multipliers'!$L$3:$N$6,2,FALSE)))</f>
        <v/>
      </c>
      <c r="N99" s="368" t="str">
        <f>IF(L99="","",IF(VLOOKUP(L99,'G-3 Multipliers'!$L$3:$N$6,3,FALSE)=0,"Spatial Data Missing",VLOOKUP(L99,'G-3 Multipliers'!$L$3:$N$6,3,FALSE)))</f>
        <v/>
      </c>
      <c r="O99" s="362" t="str">
        <f t="shared" si="6"/>
        <v/>
      </c>
      <c r="P99" s="63"/>
      <c r="Q99" s="63"/>
      <c r="R99" s="370" t="str">
        <f t="shared" si="8"/>
        <v/>
      </c>
      <c r="S99" s="383" t="str">
        <f t="shared" si="9"/>
        <v/>
      </c>
      <c r="T99" s="384"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losses",P99&gt;=O99),"Low",VLOOKUP(F99,'G-3 Multipliers'!$A$2:$E$134,4,FALSE))))</f>
        <v/>
      </c>
      <c r="X99" s="386" t="str">
        <f>IFERROR(IF(E99="","",VLOOKUP(W99, 'G-3 Multipliers'!$P$2:$Q$6,2,FALSE)),"")</f>
        <v/>
      </c>
      <c r="Y99" s="390" t="str">
        <f t="shared" si="10"/>
        <v/>
      </c>
      <c r="Z99" s="194"/>
      <c r="AA99" s="195"/>
      <c r="AB99" s="120"/>
      <c r="AE99" s="40" t="str">
        <f t="shared" si="7"/>
        <v/>
      </c>
    </row>
    <row r="100" spans="1:31" x14ac:dyDescent="0.25">
      <c r="A100" s="35" t="str">
        <f>IFERROR(INDEX('G-8 Condition Look up'!$I$4:$I$135,MATCH(F100,'G-8 Condition Look up'!$A$4:$A$135,0)),"")</f>
        <v/>
      </c>
      <c r="C100" s="299" t="str">
        <f>IFERROR(INDEX('G-1 All Habitats'!$AG$3:$AG$17,MATCH(D100,'G-1 All Habitats'!$AF$3:$AF$17,0)),"")</f>
        <v/>
      </c>
      <c r="D100" s="54"/>
      <c r="E100" s="61"/>
      <c r="F100" s="296" t="str">
        <f>IFERROR(INDEX('G-1 All Habitats'!$B$3:$B$134,MATCH(E100,'G-1 All Habitats'!$A$3:$A$134,0)),"")</f>
        <v/>
      </c>
      <c r="G100" s="53"/>
      <c r="H100" s="362" t="str">
        <f>IF(F100="","",VLOOKUP(F100,'G-1 All Habitats'!$B$2:$M$134,10,FALSE))</f>
        <v/>
      </c>
      <c r="I100" s="363" t="str">
        <f>IFERROR(VLOOKUP(H100,'G-1 All Habitats'!$V$3:$W$7,2,FALSE),"")</f>
        <v/>
      </c>
      <c r="J100" s="54"/>
      <c r="K100" s="363" t="str">
        <f>IFERROR(INDEX('G-8 Condition Look up'!$A$3:$H$135,MATCH(F100,'G-8 Condition Look up'!$A$3:$A$135,0),MATCH(J100,'G-8 Condition Look up'!$A$3:$H$3,0)),"")</f>
        <v/>
      </c>
      <c r="L100" s="54"/>
      <c r="M100" s="370" t="str">
        <f>IF(L100="","",IF(VLOOKUP(L100,'G-3 Multipliers'!$L$3:$N$6,2,FALSE)=0,"Spatial Data Missing",VLOOKUP(L100,'G-3 Multipliers'!$L$3:$N$6,2,FALSE)))</f>
        <v/>
      </c>
      <c r="N100" s="368" t="str">
        <f>IF(L100="","",IF(VLOOKUP(L100,'G-3 Multipliers'!$L$3:$N$6,3,FALSE)=0,"Spatial Data Missing",VLOOKUP(L100,'G-3 Multipliers'!$L$3:$N$6,3,FALSE)))</f>
        <v/>
      </c>
      <c r="O100" s="362" t="str">
        <f t="shared" si="6"/>
        <v/>
      </c>
      <c r="P100" s="63"/>
      <c r="Q100" s="63"/>
      <c r="R100" s="370" t="str">
        <f t="shared" si="8"/>
        <v/>
      </c>
      <c r="S100" s="383" t="str">
        <f t="shared" si="9"/>
        <v/>
      </c>
      <c r="T100" s="384"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losses",P100&gt;=O100),"Low",VLOOKUP(F100,'G-3 Multipliers'!$A$2:$E$134,4,FALSE))))</f>
        <v/>
      </c>
      <c r="X100" s="386" t="str">
        <f>IFERROR(IF(E100="","",VLOOKUP(W100, 'G-3 Multipliers'!$P$2:$Q$6,2,FALSE)),"")</f>
        <v/>
      </c>
      <c r="Y100" s="390" t="str">
        <f t="shared" si="10"/>
        <v/>
      </c>
      <c r="Z100" s="194"/>
      <c r="AA100" s="195"/>
      <c r="AB100" s="120"/>
      <c r="AE100" s="40" t="str">
        <f t="shared" si="7"/>
        <v/>
      </c>
    </row>
    <row r="101" spans="1:31" x14ac:dyDescent="0.25">
      <c r="A101" s="35" t="str">
        <f>IFERROR(INDEX('G-8 Condition Look up'!$I$4:$I$135,MATCH(F101,'G-8 Condition Look up'!$A$4:$A$135,0)),"")</f>
        <v/>
      </c>
      <c r="C101" s="299" t="str">
        <f>IFERROR(INDEX('G-1 All Habitats'!$AG$3:$AG$17,MATCH(D101,'G-1 All Habitats'!$AF$3:$AF$17,0)),"")</f>
        <v/>
      </c>
      <c r="D101" s="54"/>
      <c r="E101" s="61"/>
      <c r="F101" s="296" t="str">
        <f>IFERROR(INDEX('G-1 All Habitats'!$B$3:$B$134,MATCH(E101,'G-1 All Habitats'!$A$3:$A$134,0)),"")</f>
        <v/>
      </c>
      <c r="G101" s="53"/>
      <c r="H101" s="362" t="str">
        <f>IF(F101="","",VLOOKUP(F101,'G-1 All Habitats'!$B$2:$M$134,10,FALSE))</f>
        <v/>
      </c>
      <c r="I101" s="363" t="str">
        <f>IFERROR(VLOOKUP(H101,'G-1 All Habitats'!$V$3:$W$7,2,FALSE),"")</f>
        <v/>
      </c>
      <c r="J101" s="54"/>
      <c r="K101" s="363" t="str">
        <f>IFERROR(INDEX('G-8 Condition Look up'!$A$3:$H$135,MATCH(F101,'G-8 Condition Look up'!$A$3:$A$135,0),MATCH(J101,'G-8 Condition Look up'!$A$3:$H$3,0)),"")</f>
        <v/>
      </c>
      <c r="L101" s="54"/>
      <c r="M101" s="370" t="str">
        <f>IF(L101="","",IF(VLOOKUP(L101,'G-3 Multipliers'!$L$3:$N$6,2,FALSE)=0,"Spatial Data Missing",VLOOKUP(L101,'G-3 Multipliers'!$L$3:$N$6,2,FALSE)))</f>
        <v/>
      </c>
      <c r="N101" s="368" t="str">
        <f>IF(L101="","",IF(VLOOKUP(L101,'G-3 Multipliers'!$L$3:$N$6,3,FALSE)=0,"Spatial Data Missing",VLOOKUP(L101,'G-3 Multipliers'!$L$3:$N$6,3,FALSE)))</f>
        <v/>
      </c>
      <c r="O101" s="362" t="str">
        <f t="shared" si="6"/>
        <v/>
      </c>
      <c r="P101" s="63"/>
      <c r="Q101" s="63"/>
      <c r="R101" s="370" t="str">
        <f t="shared" si="8"/>
        <v/>
      </c>
      <c r="S101" s="383" t="str">
        <f t="shared" si="9"/>
        <v/>
      </c>
      <c r="T101" s="384"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losses",P101&gt;=O101),"Low",VLOOKUP(F101,'G-3 Multipliers'!$A$2:$E$134,4,FALSE))))</f>
        <v/>
      </c>
      <c r="X101" s="386" t="str">
        <f>IFERROR(IF(E101="","",VLOOKUP(W101, 'G-3 Multipliers'!$P$2:$Q$6,2,FALSE)),"")</f>
        <v/>
      </c>
      <c r="Y101" s="390" t="str">
        <f t="shared" si="10"/>
        <v/>
      </c>
      <c r="Z101" s="194"/>
      <c r="AA101" s="195"/>
      <c r="AB101" s="120"/>
      <c r="AE101" s="40" t="str">
        <f t="shared" si="7"/>
        <v/>
      </c>
    </row>
    <row r="102" spans="1:31" x14ac:dyDescent="0.25">
      <c r="A102" s="35" t="str">
        <f>IFERROR(INDEX('G-8 Condition Look up'!$I$4:$I$135,MATCH(F102,'G-8 Condition Look up'!$A$4:$A$135,0)),"")</f>
        <v/>
      </c>
      <c r="C102" s="299" t="str">
        <f>IFERROR(INDEX('G-1 All Habitats'!$AG$3:$AG$17,MATCH(D102,'G-1 All Habitats'!$AF$3:$AF$17,0)),"")</f>
        <v/>
      </c>
      <c r="D102" s="54"/>
      <c r="E102" s="61"/>
      <c r="F102" s="296" t="str">
        <f>IFERROR(INDEX('G-1 All Habitats'!$B$3:$B$134,MATCH(E102,'G-1 All Habitats'!$A$3:$A$134,0)),"")</f>
        <v/>
      </c>
      <c r="G102" s="53"/>
      <c r="H102" s="362" t="str">
        <f>IF(F102="","",VLOOKUP(F102,'G-1 All Habitats'!$B$2:$M$134,10,FALSE))</f>
        <v/>
      </c>
      <c r="I102" s="363" t="str">
        <f>IFERROR(VLOOKUP(H102,'G-1 All Habitats'!$V$3:$W$7,2,FALSE),"")</f>
        <v/>
      </c>
      <c r="J102" s="54"/>
      <c r="K102" s="363" t="str">
        <f>IFERROR(INDEX('G-8 Condition Look up'!$A$3:$H$135,MATCH(F102,'G-8 Condition Look up'!$A$3:$A$135,0),MATCH(J102,'G-8 Condition Look up'!$A$3:$H$3,0)),"")</f>
        <v/>
      </c>
      <c r="L102" s="54"/>
      <c r="M102" s="370" t="str">
        <f>IF(L102="","",IF(VLOOKUP(L102,'G-3 Multipliers'!$L$3:$N$6,2,FALSE)=0,"Spatial Data Missing",VLOOKUP(L102,'G-3 Multipliers'!$L$3:$N$6,2,FALSE)))</f>
        <v/>
      </c>
      <c r="N102" s="368" t="str">
        <f>IF(L102="","",IF(VLOOKUP(L102,'G-3 Multipliers'!$L$3:$N$6,3,FALSE)=0,"Spatial Data Missing",VLOOKUP(L102,'G-3 Multipliers'!$L$3:$N$6,3,FALSE)))</f>
        <v/>
      </c>
      <c r="O102" s="362" t="str">
        <f t="shared" si="6"/>
        <v/>
      </c>
      <c r="P102" s="63"/>
      <c r="Q102" s="63"/>
      <c r="R102" s="370" t="str">
        <f t="shared" si="8"/>
        <v/>
      </c>
      <c r="S102" s="383" t="str">
        <f t="shared" si="9"/>
        <v/>
      </c>
      <c r="T102" s="384"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losses",P102&gt;=O102),"Low",VLOOKUP(F102,'G-3 Multipliers'!$A$2:$E$134,4,FALSE))))</f>
        <v/>
      </c>
      <c r="X102" s="386" t="str">
        <f>IFERROR(IF(E102="","",VLOOKUP(W102, 'G-3 Multipliers'!$P$2:$Q$6,2,FALSE)),"")</f>
        <v/>
      </c>
      <c r="Y102" s="390" t="str">
        <f t="shared" si="10"/>
        <v/>
      </c>
      <c r="Z102" s="194"/>
      <c r="AA102" s="195"/>
      <c r="AB102" s="120"/>
      <c r="AE102" s="40" t="str">
        <f t="shared" si="7"/>
        <v/>
      </c>
    </row>
    <row r="103" spans="1:31" x14ac:dyDescent="0.25">
      <c r="A103" s="35" t="str">
        <f>IFERROR(INDEX('G-8 Condition Look up'!$I$4:$I$135,MATCH(F103,'G-8 Condition Look up'!$A$4:$A$135,0)),"")</f>
        <v/>
      </c>
      <c r="C103" s="299" t="str">
        <f>IFERROR(INDEX('G-1 All Habitats'!$AG$3:$AG$17,MATCH(D103,'G-1 All Habitats'!$AF$3:$AF$17,0)),"")</f>
        <v/>
      </c>
      <c r="D103" s="54"/>
      <c r="E103" s="61"/>
      <c r="F103" s="296" t="str">
        <f>IFERROR(INDEX('G-1 All Habitats'!$B$3:$B$134,MATCH(E103,'G-1 All Habitats'!$A$3:$A$134,0)),"")</f>
        <v/>
      </c>
      <c r="G103" s="53"/>
      <c r="H103" s="362" t="str">
        <f>IF(F103="","",VLOOKUP(F103,'G-1 All Habitats'!$B$2:$M$134,10,FALSE))</f>
        <v/>
      </c>
      <c r="I103" s="363" t="str">
        <f>IFERROR(VLOOKUP(H103,'G-1 All Habitats'!$V$3:$W$7,2,FALSE),"")</f>
        <v/>
      </c>
      <c r="J103" s="54"/>
      <c r="K103" s="363" t="str">
        <f>IFERROR(INDEX('G-8 Condition Look up'!$A$3:$H$135,MATCH(F103,'G-8 Condition Look up'!$A$3:$A$135,0),MATCH(J103,'G-8 Condition Look up'!$A$3:$H$3,0)),"")</f>
        <v/>
      </c>
      <c r="L103" s="54"/>
      <c r="M103" s="370" t="str">
        <f>IF(L103="","",IF(VLOOKUP(L103,'G-3 Multipliers'!$L$3:$N$6,2,FALSE)=0,"Spatial Data Missing",VLOOKUP(L103,'G-3 Multipliers'!$L$3:$N$6,2,FALSE)))</f>
        <v/>
      </c>
      <c r="N103" s="368" t="str">
        <f>IF(L103="","",IF(VLOOKUP(L103,'G-3 Multipliers'!$L$3:$N$6,3,FALSE)=0,"Spatial Data Missing",VLOOKUP(L103,'G-3 Multipliers'!$L$3:$N$6,3,FALSE)))</f>
        <v/>
      </c>
      <c r="O103" s="362" t="str">
        <f t="shared" si="6"/>
        <v/>
      </c>
      <c r="P103" s="63"/>
      <c r="Q103" s="63"/>
      <c r="R103" s="370" t="str">
        <f t="shared" si="8"/>
        <v/>
      </c>
      <c r="S103" s="383" t="str">
        <f t="shared" si="9"/>
        <v/>
      </c>
      <c r="T103" s="384"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losses",P103&gt;=O103),"Low",VLOOKUP(F103,'G-3 Multipliers'!$A$2:$E$134,4,FALSE))))</f>
        <v/>
      </c>
      <c r="X103" s="386" t="str">
        <f>IFERROR(IF(E103="","",VLOOKUP(W103, 'G-3 Multipliers'!$P$2:$Q$6,2,FALSE)),"")</f>
        <v/>
      </c>
      <c r="Y103" s="390" t="str">
        <f t="shared" si="10"/>
        <v/>
      </c>
      <c r="Z103" s="194"/>
      <c r="AA103" s="195"/>
      <c r="AB103" s="120"/>
      <c r="AE103" s="40" t="str">
        <f t="shared" si="7"/>
        <v/>
      </c>
    </row>
    <row r="104" spans="1:31" x14ac:dyDescent="0.25">
      <c r="A104" s="35" t="str">
        <f>IFERROR(INDEX('G-8 Condition Look up'!$I$4:$I$135,MATCH(F104,'G-8 Condition Look up'!$A$4:$A$135,0)),"")</f>
        <v/>
      </c>
      <c r="C104" s="299" t="str">
        <f>IFERROR(INDEX('G-1 All Habitats'!$AG$3:$AG$17,MATCH(D104,'G-1 All Habitats'!$AF$3:$AF$17,0)),"")</f>
        <v/>
      </c>
      <c r="D104" s="54"/>
      <c r="E104" s="61"/>
      <c r="F104" s="296" t="str">
        <f>IFERROR(INDEX('G-1 All Habitats'!$B$3:$B$134,MATCH(E104,'G-1 All Habitats'!$A$3:$A$134,0)),"")</f>
        <v/>
      </c>
      <c r="G104" s="53"/>
      <c r="H104" s="362" t="str">
        <f>IF(F104="","",VLOOKUP(F104,'G-1 All Habitats'!$B$2:$M$134,10,FALSE))</f>
        <v/>
      </c>
      <c r="I104" s="363" t="str">
        <f>IFERROR(VLOOKUP(H104,'G-1 All Habitats'!$V$3:$W$7,2,FALSE),"")</f>
        <v/>
      </c>
      <c r="J104" s="54"/>
      <c r="K104" s="363" t="str">
        <f>IFERROR(INDEX('G-8 Condition Look up'!$A$3:$H$135,MATCH(F104,'G-8 Condition Look up'!$A$3:$A$135,0),MATCH(J104,'G-8 Condition Look up'!$A$3:$H$3,0)),"")</f>
        <v/>
      </c>
      <c r="L104" s="54"/>
      <c r="M104" s="370" t="str">
        <f>IF(L104="","",IF(VLOOKUP(L104,'G-3 Multipliers'!$L$3:$N$6,2,FALSE)=0,"Spatial Data Missing",VLOOKUP(L104,'G-3 Multipliers'!$L$3:$N$6,2,FALSE)))</f>
        <v/>
      </c>
      <c r="N104" s="368" t="str">
        <f>IF(L104="","",IF(VLOOKUP(L104,'G-3 Multipliers'!$L$3:$N$6,3,FALSE)=0,"Spatial Data Missing",VLOOKUP(L104,'G-3 Multipliers'!$L$3:$N$6,3,FALSE)))</f>
        <v/>
      </c>
      <c r="O104" s="362" t="str">
        <f t="shared" si="6"/>
        <v/>
      </c>
      <c r="P104" s="63"/>
      <c r="Q104" s="63"/>
      <c r="R104" s="370" t="str">
        <f t="shared" si="8"/>
        <v/>
      </c>
      <c r="S104" s="383" t="str">
        <f t="shared" si="9"/>
        <v/>
      </c>
      <c r="T104" s="384"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losses",P104&gt;=O104),"Low",VLOOKUP(F104,'G-3 Multipliers'!$A$2:$E$134,4,FALSE))))</f>
        <v/>
      </c>
      <c r="X104" s="386" t="str">
        <f>IFERROR(IF(E104="","",VLOOKUP(W104, 'G-3 Multipliers'!$P$2:$Q$6,2,FALSE)),"")</f>
        <v/>
      </c>
      <c r="Y104" s="390" t="str">
        <f t="shared" si="10"/>
        <v/>
      </c>
      <c r="Z104" s="194"/>
      <c r="AA104" s="195"/>
      <c r="AB104" s="120"/>
      <c r="AE104" s="40" t="str">
        <f t="shared" si="7"/>
        <v/>
      </c>
    </row>
    <row r="105" spans="1:31" x14ac:dyDescent="0.25">
      <c r="A105" s="35" t="str">
        <f>IFERROR(INDEX('G-8 Condition Look up'!$I$4:$I$135,MATCH(F105,'G-8 Condition Look up'!$A$4:$A$135,0)),"")</f>
        <v/>
      </c>
      <c r="C105" s="299" t="str">
        <f>IFERROR(INDEX('G-1 All Habitats'!$AG$3:$AG$17,MATCH(D105,'G-1 All Habitats'!$AF$3:$AF$17,0)),"")</f>
        <v/>
      </c>
      <c r="D105" s="54"/>
      <c r="E105" s="61"/>
      <c r="F105" s="296" t="str">
        <f>IFERROR(INDEX('G-1 All Habitats'!$B$3:$B$134,MATCH(E105,'G-1 All Habitats'!$A$3:$A$134,0)),"")</f>
        <v/>
      </c>
      <c r="G105" s="53"/>
      <c r="H105" s="362" t="str">
        <f>IF(F105="","",VLOOKUP(F105,'G-1 All Habitats'!$B$2:$M$134,10,FALSE))</f>
        <v/>
      </c>
      <c r="I105" s="363" t="str">
        <f>IFERROR(VLOOKUP(H105,'G-1 All Habitats'!$V$3:$W$7,2,FALSE),"")</f>
        <v/>
      </c>
      <c r="J105" s="54"/>
      <c r="K105" s="363" t="str">
        <f>IFERROR(INDEX('G-8 Condition Look up'!$A$3:$H$135,MATCH(F105,'G-8 Condition Look up'!$A$3:$A$135,0),MATCH(J105,'G-8 Condition Look up'!$A$3:$H$3,0)),"")</f>
        <v/>
      </c>
      <c r="L105" s="54"/>
      <c r="M105" s="370" t="str">
        <f>IF(L105="","",IF(VLOOKUP(L105,'G-3 Multipliers'!$L$3:$N$6,2,FALSE)=0,"Spatial Data Missing",VLOOKUP(L105,'G-3 Multipliers'!$L$3:$N$6,2,FALSE)))</f>
        <v/>
      </c>
      <c r="N105" s="368" t="str">
        <f>IF(L105="","",IF(VLOOKUP(L105,'G-3 Multipliers'!$L$3:$N$6,3,FALSE)=0,"Spatial Data Missing",VLOOKUP(L105,'G-3 Multipliers'!$L$3:$N$6,3,FALSE)))</f>
        <v/>
      </c>
      <c r="O105" s="362" t="str">
        <f t="shared" si="6"/>
        <v/>
      </c>
      <c r="P105" s="63"/>
      <c r="Q105" s="63"/>
      <c r="R105" s="370" t="str">
        <f t="shared" si="8"/>
        <v/>
      </c>
      <c r="S105" s="383" t="str">
        <f t="shared" si="9"/>
        <v/>
      </c>
      <c r="T105" s="384"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losses",P105&gt;=O105),"Low",VLOOKUP(F105,'G-3 Multipliers'!$A$2:$E$134,4,FALSE))))</f>
        <v/>
      </c>
      <c r="X105" s="386" t="str">
        <f>IFERROR(IF(E105="","",VLOOKUP(W105, 'G-3 Multipliers'!$P$2:$Q$6,2,FALSE)),"")</f>
        <v/>
      </c>
      <c r="Y105" s="390" t="str">
        <f t="shared" si="10"/>
        <v/>
      </c>
      <c r="Z105" s="194"/>
      <c r="AA105" s="195"/>
      <c r="AB105" s="120"/>
      <c r="AE105" s="40" t="str">
        <f t="shared" si="7"/>
        <v/>
      </c>
    </row>
    <row r="106" spans="1:31" x14ac:dyDescent="0.25">
      <c r="A106" s="35" t="str">
        <f>IFERROR(INDEX('G-8 Condition Look up'!$I$4:$I$135,MATCH(F106,'G-8 Condition Look up'!$A$4:$A$135,0)),"")</f>
        <v/>
      </c>
      <c r="C106" s="299" t="str">
        <f>IFERROR(INDEX('G-1 All Habitats'!$AG$3:$AG$17,MATCH(D106,'G-1 All Habitats'!$AF$3:$AF$17,0)),"")</f>
        <v/>
      </c>
      <c r="D106" s="54"/>
      <c r="E106" s="61"/>
      <c r="F106" s="296" t="str">
        <f>IFERROR(INDEX('G-1 All Habitats'!$B$3:$B$134,MATCH(E106,'G-1 All Habitats'!$A$3:$A$134,0)),"")</f>
        <v/>
      </c>
      <c r="G106" s="53"/>
      <c r="H106" s="362" t="str">
        <f>IF(F106="","",VLOOKUP(F106,'G-1 All Habitats'!$B$2:$M$134,10,FALSE))</f>
        <v/>
      </c>
      <c r="I106" s="363" t="str">
        <f>IFERROR(VLOOKUP(H106,'G-1 All Habitats'!$V$3:$W$7,2,FALSE),"")</f>
        <v/>
      </c>
      <c r="J106" s="54"/>
      <c r="K106" s="363" t="str">
        <f>IFERROR(INDEX('G-8 Condition Look up'!$A$3:$H$135,MATCH(F106,'G-8 Condition Look up'!$A$3:$A$135,0),MATCH(J106,'G-8 Condition Look up'!$A$3:$H$3,0)),"")</f>
        <v/>
      </c>
      <c r="L106" s="54"/>
      <c r="M106" s="370" t="str">
        <f>IF(L106="","",IF(VLOOKUP(L106,'G-3 Multipliers'!$L$3:$N$6,2,FALSE)=0,"Spatial Data Missing",VLOOKUP(L106,'G-3 Multipliers'!$L$3:$N$6,2,FALSE)))</f>
        <v/>
      </c>
      <c r="N106" s="368" t="str">
        <f>IF(L106="","",IF(VLOOKUP(L106,'G-3 Multipliers'!$L$3:$N$6,3,FALSE)=0,"Spatial Data Missing",VLOOKUP(L106,'G-3 Multipliers'!$L$3:$N$6,3,FALSE)))</f>
        <v/>
      </c>
      <c r="O106" s="362" t="str">
        <f t="shared" si="6"/>
        <v/>
      </c>
      <c r="P106" s="63"/>
      <c r="Q106" s="63"/>
      <c r="R106" s="370" t="str">
        <f t="shared" si="8"/>
        <v/>
      </c>
      <c r="S106" s="383" t="str">
        <f t="shared" si="9"/>
        <v/>
      </c>
      <c r="T106" s="384"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losses",P106&gt;=O106),"Low",VLOOKUP(F106,'G-3 Multipliers'!$A$2:$E$134,4,FALSE))))</f>
        <v/>
      </c>
      <c r="X106" s="386" t="str">
        <f>IFERROR(IF(E106="","",VLOOKUP(W106, 'G-3 Multipliers'!$P$2:$Q$6,2,FALSE)),"")</f>
        <v/>
      </c>
      <c r="Y106" s="390" t="str">
        <f t="shared" si="10"/>
        <v/>
      </c>
      <c r="Z106" s="194"/>
      <c r="AA106" s="195"/>
      <c r="AB106" s="120"/>
      <c r="AE106" s="40" t="str">
        <f t="shared" si="7"/>
        <v/>
      </c>
    </row>
    <row r="107" spans="1:31" x14ac:dyDescent="0.25">
      <c r="A107" s="35" t="str">
        <f>IFERROR(INDEX('G-8 Condition Look up'!$I$4:$I$135,MATCH(F107,'G-8 Condition Look up'!$A$4:$A$135,0)),"")</f>
        <v/>
      </c>
      <c r="C107" s="299" t="str">
        <f>IFERROR(INDEX('G-1 All Habitats'!$AG$3:$AG$17,MATCH(D107,'G-1 All Habitats'!$AF$3:$AF$17,0)),"")</f>
        <v/>
      </c>
      <c r="D107" s="54"/>
      <c r="E107" s="61"/>
      <c r="F107" s="296" t="str">
        <f>IFERROR(INDEX('G-1 All Habitats'!$B$3:$B$134,MATCH(E107,'G-1 All Habitats'!$A$3:$A$134,0)),"")</f>
        <v/>
      </c>
      <c r="G107" s="53"/>
      <c r="H107" s="362" t="str">
        <f>IF(F107="","",VLOOKUP(F107,'G-1 All Habitats'!$B$2:$M$134,10,FALSE))</f>
        <v/>
      </c>
      <c r="I107" s="363" t="str">
        <f>IFERROR(VLOOKUP(H107,'G-1 All Habitats'!$V$3:$W$7,2,FALSE),"")</f>
        <v/>
      </c>
      <c r="J107" s="54"/>
      <c r="K107" s="363" t="str">
        <f>IFERROR(INDEX('G-8 Condition Look up'!$A$3:$H$135,MATCH(F107,'G-8 Condition Look up'!$A$3:$A$135,0),MATCH(J107,'G-8 Condition Look up'!$A$3:$H$3,0)),"")</f>
        <v/>
      </c>
      <c r="L107" s="54"/>
      <c r="M107" s="370" t="str">
        <f>IF(L107="","",IF(VLOOKUP(L107,'G-3 Multipliers'!$L$3:$N$6,2,FALSE)=0,"Spatial Data Missing",VLOOKUP(L107,'G-3 Multipliers'!$L$3:$N$6,2,FALSE)))</f>
        <v/>
      </c>
      <c r="N107" s="368" t="str">
        <f>IF(L107="","",IF(VLOOKUP(L107,'G-3 Multipliers'!$L$3:$N$6,3,FALSE)=0,"Spatial Data Missing",VLOOKUP(L107,'G-3 Multipliers'!$L$3:$N$6,3,FALSE)))</f>
        <v/>
      </c>
      <c r="O107" s="362" t="str">
        <f t="shared" si="6"/>
        <v/>
      </c>
      <c r="P107" s="63"/>
      <c r="Q107" s="63"/>
      <c r="R107" s="370" t="str">
        <f t="shared" si="8"/>
        <v/>
      </c>
      <c r="S107" s="383" t="str">
        <f t="shared" si="9"/>
        <v/>
      </c>
      <c r="T107" s="384"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losses",P107&gt;=O107),"Low",VLOOKUP(F107,'G-3 Multipliers'!$A$2:$E$134,4,FALSE))))</f>
        <v/>
      </c>
      <c r="X107" s="386" t="str">
        <f>IFERROR(IF(E107="","",VLOOKUP(W107, 'G-3 Multipliers'!$P$2:$Q$6,2,FALSE)),"")</f>
        <v/>
      </c>
      <c r="Y107" s="390" t="str">
        <f t="shared" si="10"/>
        <v/>
      </c>
      <c r="Z107" s="194"/>
      <c r="AA107" s="195"/>
      <c r="AB107" s="120"/>
      <c r="AE107" s="40" t="str">
        <f t="shared" si="7"/>
        <v/>
      </c>
    </row>
    <row r="108" spans="1:31" x14ac:dyDescent="0.25">
      <c r="A108" s="35" t="str">
        <f>IFERROR(INDEX('G-8 Condition Look up'!$I$4:$I$135,MATCH(F108,'G-8 Condition Look up'!$A$4:$A$135,0)),"")</f>
        <v/>
      </c>
      <c r="C108" s="299" t="str">
        <f>IFERROR(INDEX('G-1 All Habitats'!$AG$3:$AG$17,MATCH(D108,'G-1 All Habitats'!$AF$3:$AF$17,0)),"")</f>
        <v/>
      </c>
      <c r="D108" s="54"/>
      <c r="E108" s="61"/>
      <c r="F108" s="296" t="str">
        <f>IFERROR(INDEX('G-1 All Habitats'!$B$3:$B$134,MATCH(E108,'G-1 All Habitats'!$A$3:$A$134,0)),"")</f>
        <v/>
      </c>
      <c r="G108" s="53"/>
      <c r="H108" s="362" t="str">
        <f>IF(F108="","",VLOOKUP(F108,'G-1 All Habitats'!$B$2:$M$134,10,FALSE))</f>
        <v/>
      </c>
      <c r="I108" s="363" t="str">
        <f>IFERROR(VLOOKUP(H108,'G-1 All Habitats'!$V$3:$W$7,2,FALSE),"")</f>
        <v/>
      </c>
      <c r="J108" s="54"/>
      <c r="K108" s="363" t="str">
        <f>IFERROR(INDEX('G-8 Condition Look up'!$A$3:$H$135,MATCH(F108,'G-8 Condition Look up'!$A$3:$A$135,0),MATCH(J108,'G-8 Condition Look up'!$A$3:$H$3,0)),"")</f>
        <v/>
      </c>
      <c r="L108" s="54"/>
      <c r="M108" s="370" t="str">
        <f>IF(L108="","",IF(VLOOKUP(L108,'G-3 Multipliers'!$L$3:$N$6,2,FALSE)=0,"Spatial Data Missing",VLOOKUP(L108,'G-3 Multipliers'!$L$3:$N$6,2,FALSE)))</f>
        <v/>
      </c>
      <c r="N108" s="368" t="str">
        <f>IF(L108="","",IF(VLOOKUP(L108,'G-3 Multipliers'!$L$3:$N$6,3,FALSE)=0,"Spatial Data Missing",VLOOKUP(L108,'G-3 Multipliers'!$L$3:$N$6,3,FALSE)))</f>
        <v/>
      </c>
      <c r="O108" s="362" t="str">
        <f t="shared" si="6"/>
        <v/>
      </c>
      <c r="P108" s="63"/>
      <c r="Q108" s="63"/>
      <c r="R108" s="370" t="str">
        <f t="shared" si="8"/>
        <v/>
      </c>
      <c r="S108" s="383" t="str">
        <f t="shared" si="9"/>
        <v/>
      </c>
      <c r="T108" s="384"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losses",P108&gt;=O108),"Low",VLOOKUP(F108,'G-3 Multipliers'!$A$2:$E$134,4,FALSE))))</f>
        <v/>
      </c>
      <c r="X108" s="386" t="str">
        <f>IFERROR(IF(E108="","",VLOOKUP(W108, 'G-3 Multipliers'!$P$2:$Q$6,2,FALSE)),"")</f>
        <v/>
      </c>
      <c r="Y108" s="390" t="str">
        <f t="shared" si="10"/>
        <v/>
      </c>
      <c r="Z108" s="194"/>
      <c r="AA108" s="195"/>
      <c r="AB108" s="120"/>
      <c r="AE108" s="40" t="str">
        <f t="shared" si="7"/>
        <v/>
      </c>
    </row>
    <row r="109" spans="1:31" x14ac:dyDescent="0.25">
      <c r="A109" s="35" t="str">
        <f>IFERROR(INDEX('G-8 Condition Look up'!$I$4:$I$135,MATCH(F109,'G-8 Condition Look up'!$A$4:$A$135,0)),"")</f>
        <v/>
      </c>
      <c r="C109" s="299" t="str">
        <f>IFERROR(INDEX('G-1 All Habitats'!$AG$3:$AG$17,MATCH(D109,'G-1 All Habitats'!$AF$3:$AF$17,0)),"")</f>
        <v/>
      </c>
      <c r="D109" s="54"/>
      <c r="E109" s="61"/>
      <c r="F109" s="296" t="str">
        <f>IFERROR(INDEX('G-1 All Habitats'!$B$3:$B$134,MATCH(E109,'G-1 All Habitats'!$A$3:$A$134,0)),"")</f>
        <v/>
      </c>
      <c r="G109" s="53"/>
      <c r="H109" s="362" t="str">
        <f>IF(F109="","",VLOOKUP(F109,'G-1 All Habitats'!$B$2:$M$134,10,FALSE))</f>
        <v/>
      </c>
      <c r="I109" s="363" t="str">
        <f>IFERROR(VLOOKUP(H109,'G-1 All Habitats'!$V$3:$W$7,2,FALSE),"")</f>
        <v/>
      </c>
      <c r="J109" s="54"/>
      <c r="K109" s="363" t="str">
        <f>IFERROR(INDEX('G-8 Condition Look up'!$A$3:$H$135,MATCH(F109,'G-8 Condition Look up'!$A$3:$A$135,0),MATCH(J109,'G-8 Condition Look up'!$A$3:$H$3,0)),"")</f>
        <v/>
      </c>
      <c r="L109" s="54"/>
      <c r="M109" s="370" t="str">
        <f>IF(L109="","",IF(VLOOKUP(L109,'G-3 Multipliers'!$L$3:$N$6,2,FALSE)=0,"Spatial Data Missing",VLOOKUP(L109,'G-3 Multipliers'!$L$3:$N$6,2,FALSE)))</f>
        <v/>
      </c>
      <c r="N109" s="368" t="str">
        <f>IF(L109="","",IF(VLOOKUP(L109,'G-3 Multipliers'!$L$3:$N$6,3,FALSE)=0,"Spatial Data Missing",VLOOKUP(L109,'G-3 Multipliers'!$L$3:$N$6,3,FALSE)))</f>
        <v/>
      </c>
      <c r="O109" s="362" t="str">
        <f t="shared" si="6"/>
        <v/>
      </c>
      <c r="P109" s="63"/>
      <c r="Q109" s="63"/>
      <c r="R109" s="370" t="str">
        <f t="shared" si="8"/>
        <v/>
      </c>
      <c r="S109" s="383" t="str">
        <f t="shared" si="9"/>
        <v/>
      </c>
      <c r="T109" s="384"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losses",P109&gt;=O109),"Low",VLOOKUP(F109,'G-3 Multipliers'!$A$2:$E$134,4,FALSE))))</f>
        <v/>
      </c>
      <c r="X109" s="386" t="str">
        <f>IFERROR(IF(E109="","",VLOOKUP(W109, 'G-3 Multipliers'!$P$2:$Q$6,2,FALSE)),"")</f>
        <v/>
      </c>
      <c r="Y109" s="390" t="str">
        <f t="shared" si="10"/>
        <v/>
      </c>
      <c r="Z109" s="194"/>
      <c r="AA109" s="195"/>
      <c r="AB109" s="120"/>
      <c r="AE109" s="40" t="str">
        <f t="shared" si="7"/>
        <v/>
      </c>
    </row>
    <row r="110" spans="1:31" x14ac:dyDescent="0.25">
      <c r="A110" s="35" t="str">
        <f>IFERROR(INDEX('G-8 Condition Look up'!$I$4:$I$135,MATCH(F110,'G-8 Condition Look up'!$A$4:$A$135,0)),"")</f>
        <v/>
      </c>
      <c r="C110" s="299" t="str">
        <f>IFERROR(INDEX('G-1 All Habitats'!$AG$3:$AG$17,MATCH(D110,'G-1 All Habitats'!$AF$3:$AF$17,0)),"")</f>
        <v/>
      </c>
      <c r="D110" s="54"/>
      <c r="E110" s="61"/>
      <c r="F110" s="296" t="str">
        <f>IFERROR(INDEX('G-1 All Habitats'!$B$3:$B$134,MATCH(E110,'G-1 All Habitats'!$A$3:$A$134,0)),"")</f>
        <v/>
      </c>
      <c r="G110" s="53"/>
      <c r="H110" s="362" t="str">
        <f>IF(F110="","",VLOOKUP(F110,'G-1 All Habitats'!$B$2:$M$134,10,FALSE))</f>
        <v/>
      </c>
      <c r="I110" s="363" t="str">
        <f>IFERROR(VLOOKUP(H110,'G-1 All Habitats'!$V$3:$W$7,2,FALSE),"")</f>
        <v/>
      </c>
      <c r="J110" s="54"/>
      <c r="K110" s="363" t="str">
        <f>IFERROR(INDEX('G-8 Condition Look up'!$A$3:$H$135,MATCH(F110,'G-8 Condition Look up'!$A$3:$A$135,0),MATCH(J110,'G-8 Condition Look up'!$A$3:$H$3,0)),"")</f>
        <v/>
      </c>
      <c r="L110" s="54"/>
      <c r="M110" s="370" t="str">
        <f>IF(L110="","",IF(VLOOKUP(L110,'G-3 Multipliers'!$L$3:$N$6,2,FALSE)=0,"Spatial Data Missing",VLOOKUP(L110,'G-3 Multipliers'!$L$3:$N$6,2,FALSE)))</f>
        <v/>
      </c>
      <c r="N110" s="368" t="str">
        <f>IF(L110="","",IF(VLOOKUP(L110,'G-3 Multipliers'!$L$3:$N$6,3,FALSE)=0,"Spatial Data Missing",VLOOKUP(L110,'G-3 Multipliers'!$L$3:$N$6,3,FALSE)))</f>
        <v/>
      </c>
      <c r="O110" s="362" t="str">
        <f t="shared" si="6"/>
        <v/>
      </c>
      <c r="P110" s="63"/>
      <c r="Q110" s="63"/>
      <c r="R110" s="370" t="str">
        <f t="shared" si="8"/>
        <v/>
      </c>
      <c r="S110" s="383" t="str">
        <f t="shared" si="9"/>
        <v/>
      </c>
      <c r="T110" s="384"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losses",P110&gt;=O110),"Low",VLOOKUP(F110,'G-3 Multipliers'!$A$2:$E$134,4,FALSE))))</f>
        <v/>
      </c>
      <c r="X110" s="386" t="str">
        <f>IFERROR(IF(E110="","",VLOOKUP(W110, 'G-3 Multipliers'!$P$2:$Q$6,2,FALSE)),"")</f>
        <v/>
      </c>
      <c r="Y110" s="390" t="str">
        <f t="shared" si="10"/>
        <v/>
      </c>
      <c r="Z110" s="194"/>
      <c r="AA110" s="195"/>
      <c r="AB110" s="120"/>
      <c r="AE110" s="40" t="str">
        <f t="shared" si="7"/>
        <v/>
      </c>
    </row>
    <row r="111" spans="1:31" x14ac:dyDescent="0.25">
      <c r="A111" s="35" t="str">
        <f>IFERROR(INDEX('G-8 Condition Look up'!$I$4:$I$135,MATCH(F111,'G-8 Condition Look up'!$A$4:$A$135,0)),"")</f>
        <v/>
      </c>
      <c r="C111" s="299" t="str">
        <f>IFERROR(INDEX('G-1 All Habitats'!$AG$3:$AG$17,MATCH(D111,'G-1 All Habitats'!$AF$3:$AF$17,0)),"")</f>
        <v/>
      </c>
      <c r="D111" s="54"/>
      <c r="E111" s="61"/>
      <c r="F111" s="296" t="str">
        <f>IFERROR(INDEX('G-1 All Habitats'!$B$3:$B$134,MATCH(E111,'G-1 All Habitats'!$A$3:$A$134,0)),"")</f>
        <v/>
      </c>
      <c r="G111" s="53"/>
      <c r="H111" s="362" t="str">
        <f>IF(F111="","",VLOOKUP(F111,'G-1 All Habitats'!$B$2:$M$134,10,FALSE))</f>
        <v/>
      </c>
      <c r="I111" s="363" t="str">
        <f>IFERROR(VLOOKUP(H111,'G-1 All Habitats'!$V$3:$W$7,2,FALSE),"")</f>
        <v/>
      </c>
      <c r="J111" s="54"/>
      <c r="K111" s="363" t="str">
        <f>IFERROR(INDEX('G-8 Condition Look up'!$A$3:$H$135,MATCH(F111,'G-8 Condition Look up'!$A$3:$A$135,0),MATCH(J111,'G-8 Condition Look up'!$A$3:$H$3,0)),"")</f>
        <v/>
      </c>
      <c r="L111" s="54"/>
      <c r="M111" s="370" t="str">
        <f>IF(L111="","",IF(VLOOKUP(L111,'G-3 Multipliers'!$L$3:$N$6,2,FALSE)=0,"Spatial Data Missing",VLOOKUP(L111,'G-3 Multipliers'!$L$3:$N$6,2,FALSE)))</f>
        <v/>
      </c>
      <c r="N111" s="368" t="str">
        <f>IF(L111="","",IF(VLOOKUP(L111,'G-3 Multipliers'!$L$3:$N$6,3,FALSE)=0,"Spatial Data Missing",VLOOKUP(L111,'G-3 Multipliers'!$L$3:$N$6,3,FALSE)))</f>
        <v/>
      </c>
      <c r="O111" s="362" t="str">
        <f t="shared" si="6"/>
        <v/>
      </c>
      <c r="P111" s="63"/>
      <c r="Q111" s="63"/>
      <c r="R111" s="370" t="str">
        <f t="shared" si="8"/>
        <v/>
      </c>
      <c r="S111" s="383" t="str">
        <f t="shared" si="9"/>
        <v/>
      </c>
      <c r="T111" s="384"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losses",P111&gt;=O111),"Low",VLOOKUP(F111,'G-3 Multipliers'!$A$2:$E$134,4,FALSE))))</f>
        <v/>
      </c>
      <c r="X111" s="386" t="str">
        <f>IFERROR(IF(E111="","",VLOOKUP(W111, 'G-3 Multipliers'!$P$2:$Q$6,2,FALSE)),"")</f>
        <v/>
      </c>
      <c r="Y111" s="390" t="str">
        <f t="shared" si="10"/>
        <v/>
      </c>
      <c r="Z111" s="194"/>
      <c r="AA111" s="195"/>
      <c r="AB111" s="120"/>
      <c r="AE111" s="40" t="str">
        <f t="shared" si="7"/>
        <v/>
      </c>
    </row>
    <row r="112" spans="1:31" x14ac:dyDescent="0.25">
      <c r="A112" s="35" t="str">
        <f>IFERROR(INDEX('G-8 Condition Look up'!$I$4:$I$135,MATCH(F112,'G-8 Condition Look up'!$A$4:$A$135,0)),"")</f>
        <v/>
      </c>
      <c r="C112" s="299" t="str">
        <f>IFERROR(INDEX('G-1 All Habitats'!$AG$3:$AG$17,MATCH(D112,'G-1 All Habitats'!$AF$3:$AF$17,0)),"")</f>
        <v/>
      </c>
      <c r="D112" s="54"/>
      <c r="E112" s="61"/>
      <c r="F112" s="296" t="str">
        <f>IFERROR(INDEX('G-1 All Habitats'!$B$3:$B$134,MATCH(E112,'G-1 All Habitats'!$A$3:$A$134,0)),"")</f>
        <v/>
      </c>
      <c r="G112" s="53"/>
      <c r="H112" s="362" t="str">
        <f>IF(F112="","",VLOOKUP(F112,'G-1 All Habitats'!$B$2:$M$134,10,FALSE))</f>
        <v/>
      </c>
      <c r="I112" s="363" t="str">
        <f>IFERROR(VLOOKUP(H112,'G-1 All Habitats'!$V$3:$W$7,2,FALSE),"")</f>
        <v/>
      </c>
      <c r="J112" s="54"/>
      <c r="K112" s="363" t="str">
        <f>IFERROR(INDEX('G-8 Condition Look up'!$A$3:$H$135,MATCH(F112,'G-8 Condition Look up'!$A$3:$A$135,0),MATCH(J112,'G-8 Condition Look up'!$A$3:$H$3,0)),"")</f>
        <v/>
      </c>
      <c r="L112" s="54"/>
      <c r="M112" s="370" t="str">
        <f>IF(L112="","",IF(VLOOKUP(L112,'G-3 Multipliers'!$L$3:$N$6,2,FALSE)=0,"Spatial Data Missing",VLOOKUP(L112,'G-3 Multipliers'!$L$3:$N$6,2,FALSE)))</f>
        <v/>
      </c>
      <c r="N112" s="368" t="str">
        <f>IF(L112="","",IF(VLOOKUP(L112,'G-3 Multipliers'!$L$3:$N$6,3,FALSE)=0,"Spatial Data Missing",VLOOKUP(L112,'G-3 Multipliers'!$L$3:$N$6,3,FALSE)))</f>
        <v/>
      </c>
      <c r="O112" s="362" t="str">
        <f t="shared" si="6"/>
        <v/>
      </c>
      <c r="P112" s="63"/>
      <c r="Q112" s="63"/>
      <c r="R112" s="370" t="str">
        <f t="shared" si="8"/>
        <v/>
      </c>
      <c r="S112" s="383" t="str">
        <f t="shared" si="9"/>
        <v/>
      </c>
      <c r="T112" s="384"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losses",P112&gt;=O112),"Low",VLOOKUP(F112,'G-3 Multipliers'!$A$2:$E$134,4,FALSE))))</f>
        <v/>
      </c>
      <c r="X112" s="386" t="str">
        <f>IFERROR(IF(E112="","",VLOOKUP(W112, 'G-3 Multipliers'!$P$2:$Q$6,2,FALSE)),"")</f>
        <v/>
      </c>
      <c r="Y112" s="390" t="str">
        <f t="shared" si="10"/>
        <v/>
      </c>
      <c r="Z112" s="194"/>
      <c r="AA112" s="195"/>
      <c r="AB112" s="120"/>
      <c r="AE112" s="40" t="str">
        <f t="shared" si="7"/>
        <v/>
      </c>
    </row>
    <row r="113" spans="1:31" x14ac:dyDescent="0.25">
      <c r="A113" s="35" t="str">
        <f>IFERROR(INDEX('G-8 Condition Look up'!$I$4:$I$135,MATCH(F113,'G-8 Condition Look up'!$A$4:$A$135,0)),"")</f>
        <v/>
      </c>
      <c r="C113" s="299" t="str">
        <f>IFERROR(INDEX('G-1 All Habitats'!$AG$3:$AG$17,MATCH(D113,'G-1 All Habitats'!$AF$3:$AF$17,0)),"")</f>
        <v/>
      </c>
      <c r="D113" s="54"/>
      <c r="E113" s="61"/>
      <c r="F113" s="296" t="str">
        <f>IFERROR(INDEX('G-1 All Habitats'!$B$3:$B$134,MATCH(E113,'G-1 All Habitats'!$A$3:$A$134,0)),"")</f>
        <v/>
      </c>
      <c r="G113" s="53"/>
      <c r="H113" s="362" t="str">
        <f>IF(F113="","",VLOOKUP(F113,'G-1 All Habitats'!$B$2:$M$134,10,FALSE))</f>
        <v/>
      </c>
      <c r="I113" s="363" t="str">
        <f>IFERROR(VLOOKUP(H113,'G-1 All Habitats'!$V$3:$W$7,2,FALSE),"")</f>
        <v/>
      </c>
      <c r="J113" s="54"/>
      <c r="K113" s="363" t="str">
        <f>IFERROR(INDEX('G-8 Condition Look up'!$A$3:$H$135,MATCH(F113,'G-8 Condition Look up'!$A$3:$A$135,0),MATCH(J113,'G-8 Condition Look up'!$A$3:$H$3,0)),"")</f>
        <v/>
      </c>
      <c r="L113" s="54"/>
      <c r="M113" s="370" t="str">
        <f>IF(L113="","",IF(VLOOKUP(L113,'G-3 Multipliers'!$L$3:$N$6,2,FALSE)=0,"Spatial Data Missing",VLOOKUP(L113,'G-3 Multipliers'!$L$3:$N$6,2,FALSE)))</f>
        <v/>
      </c>
      <c r="N113" s="368" t="str">
        <f>IF(L113="","",IF(VLOOKUP(L113,'G-3 Multipliers'!$L$3:$N$6,3,FALSE)=0,"Spatial Data Missing",VLOOKUP(L113,'G-3 Multipliers'!$L$3:$N$6,3,FALSE)))</f>
        <v/>
      </c>
      <c r="O113" s="362" t="str">
        <f t="shared" si="6"/>
        <v/>
      </c>
      <c r="P113" s="63"/>
      <c r="Q113" s="63"/>
      <c r="R113" s="370" t="str">
        <f t="shared" si="8"/>
        <v/>
      </c>
      <c r="S113" s="383" t="str">
        <f t="shared" si="9"/>
        <v/>
      </c>
      <c r="T113" s="384"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losses",P113&gt;=O113),"Low",VLOOKUP(F113,'G-3 Multipliers'!$A$2:$E$134,4,FALSE))))</f>
        <v/>
      </c>
      <c r="X113" s="386" t="str">
        <f>IFERROR(IF(E113="","",VLOOKUP(W113, 'G-3 Multipliers'!$P$2:$Q$6,2,FALSE)),"")</f>
        <v/>
      </c>
      <c r="Y113" s="390" t="str">
        <f t="shared" si="10"/>
        <v/>
      </c>
      <c r="Z113" s="194"/>
      <c r="AA113" s="195"/>
      <c r="AB113" s="120"/>
      <c r="AE113" s="40" t="str">
        <f t="shared" si="7"/>
        <v/>
      </c>
    </row>
    <row r="114" spans="1:31" x14ac:dyDescent="0.25">
      <c r="A114" s="35" t="str">
        <f>IFERROR(INDEX('G-8 Condition Look up'!$I$4:$I$135,MATCH(F114,'G-8 Condition Look up'!$A$4:$A$135,0)),"")</f>
        <v/>
      </c>
      <c r="C114" s="299" t="str">
        <f>IFERROR(INDEX('G-1 All Habitats'!$AG$3:$AG$17,MATCH(D114,'G-1 All Habitats'!$AF$3:$AF$17,0)),"")</f>
        <v/>
      </c>
      <c r="D114" s="54"/>
      <c r="E114" s="61"/>
      <c r="F114" s="296" t="str">
        <f>IFERROR(INDEX('G-1 All Habitats'!$B$3:$B$134,MATCH(E114,'G-1 All Habitats'!$A$3:$A$134,0)),"")</f>
        <v/>
      </c>
      <c r="G114" s="53"/>
      <c r="H114" s="362" t="str">
        <f>IF(F114="","",VLOOKUP(F114,'G-1 All Habitats'!$B$2:$M$134,10,FALSE))</f>
        <v/>
      </c>
      <c r="I114" s="363" t="str">
        <f>IFERROR(VLOOKUP(H114,'G-1 All Habitats'!$V$3:$W$7,2,FALSE),"")</f>
        <v/>
      </c>
      <c r="J114" s="54"/>
      <c r="K114" s="363" t="str">
        <f>IFERROR(INDEX('G-8 Condition Look up'!$A$3:$H$135,MATCH(F114,'G-8 Condition Look up'!$A$3:$A$135,0),MATCH(J114,'G-8 Condition Look up'!$A$3:$H$3,0)),"")</f>
        <v/>
      </c>
      <c r="L114" s="54"/>
      <c r="M114" s="370" t="str">
        <f>IF(L114="","",IF(VLOOKUP(L114,'G-3 Multipliers'!$L$3:$N$6,2,FALSE)=0,"Spatial Data Missing",VLOOKUP(L114,'G-3 Multipliers'!$L$3:$N$6,2,FALSE)))</f>
        <v/>
      </c>
      <c r="N114" s="368" t="str">
        <f>IF(L114="","",IF(VLOOKUP(L114,'G-3 Multipliers'!$L$3:$N$6,3,FALSE)=0,"Spatial Data Missing",VLOOKUP(L114,'G-3 Multipliers'!$L$3:$N$6,3,FALSE)))</f>
        <v/>
      </c>
      <c r="O114" s="362" t="str">
        <f t="shared" si="6"/>
        <v/>
      </c>
      <c r="P114" s="63"/>
      <c r="Q114" s="63"/>
      <c r="R114" s="370" t="str">
        <f t="shared" si="8"/>
        <v/>
      </c>
      <c r="S114" s="383" t="str">
        <f t="shared" si="9"/>
        <v/>
      </c>
      <c r="T114" s="384"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losses",P114&gt;=O114),"Low",VLOOKUP(F114,'G-3 Multipliers'!$A$2:$E$134,4,FALSE))))</f>
        <v/>
      </c>
      <c r="X114" s="386" t="str">
        <f>IFERROR(IF(E114="","",VLOOKUP(W114, 'G-3 Multipliers'!$P$2:$Q$6,2,FALSE)),"")</f>
        <v/>
      </c>
      <c r="Y114" s="390" t="str">
        <f t="shared" si="10"/>
        <v/>
      </c>
      <c r="Z114" s="194"/>
      <c r="AA114" s="195"/>
      <c r="AB114" s="120"/>
      <c r="AE114" s="40" t="str">
        <f t="shared" si="7"/>
        <v/>
      </c>
    </row>
    <row r="115" spans="1:31" x14ac:dyDescent="0.25">
      <c r="A115" s="35" t="str">
        <f>IFERROR(INDEX('G-8 Condition Look up'!$I$4:$I$135,MATCH(F115,'G-8 Condition Look up'!$A$4:$A$135,0)),"")</f>
        <v/>
      </c>
      <c r="C115" s="299" t="str">
        <f>IFERROR(INDEX('G-1 All Habitats'!$AG$3:$AG$17,MATCH(D115,'G-1 All Habitats'!$AF$3:$AF$17,0)),"")</f>
        <v/>
      </c>
      <c r="D115" s="54"/>
      <c r="E115" s="61"/>
      <c r="F115" s="296" t="str">
        <f>IFERROR(INDEX('G-1 All Habitats'!$B$3:$B$134,MATCH(E115,'G-1 All Habitats'!$A$3:$A$134,0)),"")</f>
        <v/>
      </c>
      <c r="G115" s="53"/>
      <c r="H115" s="362" t="str">
        <f>IF(F115="","",VLOOKUP(F115,'G-1 All Habitats'!$B$2:$M$134,10,FALSE))</f>
        <v/>
      </c>
      <c r="I115" s="363" t="str">
        <f>IFERROR(VLOOKUP(H115,'G-1 All Habitats'!$V$3:$W$7,2,FALSE),"")</f>
        <v/>
      </c>
      <c r="J115" s="54"/>
      <c r="K115" s="363" t="str">
        <f>IFERROR(INDEX('G-8 Condition Look up'!$A$3:$H$135,MATCH(F115,'G-8 Condition Look up'!$A$3:$A$135,0),MATCH(J115,'G-8 Condition Look up'!$A$3:$H$3,0)),"")</f>
        <v/>
      </c>
      <c r="L115" s="54"/>
      <c r="M115" s="370" t="str">
        <f>IF(L115="","",IF(VLOOKUP(L115,'G-3 Multipliers'!$L$3:$N$6,2,FALSE)=0,"Spatial Data Missing",VLOOKUP(L115,'G-3 Multipliers'!$L$3:$N$6,2,FALSE)))</f>
        <v/>
      </c>
      <c r="N115" s="368" t="str">
        <f>IF(L115="","",IF(VLOOKUP(L115,'G-3 Multipliers'!$L$3:$N$6,3,FALSE)=0,"Spatial Data Missing",VLOOKUP(L115,'G-3 Multipliers'!$L$3:$N$6,3,FALSE)))</f>
        <v/>
      </c>
      <c r="O115" s="362" t="str">
        <f t="shared" si="6"/>
        <v/>
      </c>
      <c r="P115" s="63"/>
      <c r="Q115" s="63"/>
      <c r="R115" s="370" t="str">
        <f t="shared" si="8"/>
        <v/>
      </c>
      <c r="S115" s="383" t="str">
        <f t="shared" si="9"/>
        <v/>
      </c>
      <c r="T115" s="384"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losses",P115&gt;=O115),"Low",VLOOKUP(F115,'G-3 Multipliers'!$A$2:$E$134,4,FALSE))))</f>
        <v/>
      </c>
      <c r="X115" s="386" t="str">
        <f>IFERROR(IF(E115="","",VLOOKUP(W115, 'G-3 Multipliers'!$P$2:$Q$6,2,FALSE)),"")</f>
        <v/>
      </c>
      <c r="Y115" s="390" t="str">
        <f t="shared" si="10"/>
        <v/>
      </c>
      <c r="Z115" s="194"/>
      <c r="AA115" s="195"/>
      <c r="AB115" s="120"/>
      <c r="AE115" s="40" t="str">
        <f t="shared" si="7"/>
        <v/>
      </c>
    </row>
    <row r="116" spans="1:31" x14ac:dyDescent="0.25">
      <c r="A116" s="35" t="str">
        <f>IFERROR(INDEX('G-8 Condition Look up'!$I$4:$I$135,MATCH(F116,'G-8 Condition Look up'!$A$4:$A$135,0)),"")</f>
        <v/>
      </c>
      <c r="C116" s="299" t="str">
        <f>IFERROR(INDEX('G-1 All Habitats'!$AG$3:$AG$17,MATCH(D116,'G-1 All Habitats'!$AF$3:$AF$17,0)),"")</f>
        <v/>
      </c>
      <c r="D116" s="54"/>
      <c r="E116" s="61"/>
      <c r="F116" s="296" t="str">
        <f>IFERROR(INDEX('G-1 All Habitats'!$B$3:$B$134,MATCH(E116,'G-1 All Habitats'!$A$3:$A$134,0)),"")</f>
        <v/>
      </c>
      <c r="G116" s="53"/>
      <c r="H116" s="362" t="str">
        <f>IF(F116="","",VLOOKUP(F116,'G-1 All Habitats'!$B$2:$M$134,10,FALSE))</f>
        <v/>
      </c>
      <c r="I116" s="363" t="str">
        <f>IFERROR(VLOOKUP(H116,'G-1 All Habitats'!$V$3:$W$7,2,FALSE),"")</f>
        <v/>
      </c>
      <c r="J116" s="54"/>
      <c r="K116" s="363" t="str">
        <f>IFERROR(INDEX('G-8 Condition Look up'!$A$3:$H$135,MATCH(F116,'G-8 Condition Look up'!$A$3:$A$135,0),MATCH(J116,'G-8 Condition Look up'!$A$3:$H$3,0)),"")</f>
        <v/>
      </c>
      <c r="L116" s="54"/>
      <c r="M116" s="370" t="str">
        <f>IF(L116="","",IF(VLOOKUP(L116,'G-3 Multipliers'!$L$3:$N$6,2,FALSE)=0,"Spatial Data Missing",VLOOKUP(L116,'G-3 Multipliers'!$L$3:$N$6,2,FALSE)))</f>
        <v/>
      </c>
      <c r="N116" s="368" t="str">
        <f>IF(L116="","",IF(VLOOKUP(L116,'G-3 Multipliers'!$L$3:$N$6,3,FALSE)=0,"Spatial Data Missing",VLOOKUP(L116,'G-3 Multipliers'!$L$3:$N$6,3,FALSE)))</f>
        <v/>
      </c>
      <c r="O116" s="362" t="str">
        <f t="shared" si="6"/>
        <v/>
      </c>
      <c r="P116" s="63"/>
      <c r="Q116" s="63"/>
      <c r="R116" s="370" t="str">
        <f t="shared" si="8"/>
        <v/>
      </c>
      <c r="S116" s="383" t="str">
        <f t="shared" si="9"/>
        <v/>
      </c>
      <c r="T116" s="384"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losses",P116&gt;=O116),"Low",VLOOKUP(F116,'G-3 Multipliers'!$A$2:$E$134,4,FALSE))))</f>
        <v/>
      </c>
      <c r="X116" s="386" t="str">
        <f>IFERROR(IF(E116="","",VLOOKUP(W116, 'G-3 Multipliers'!$P$2:$Q$6,2,FALSE)),"")</f>
        <v/>
      </c>
      <c r="Y116" s="390" t="str">
        <f t="shared" si="10"/>
        <v/>
      </c>
      <c r="Z116" s="194"/>
      <c r="AA116" s="195"/>
      <c r="AB116" s="120"/>
      <c r="AE116" s="40" t="str">
        <f t="shared" si="7"/>
        <v/>
      </c>
    </row>
    <row r="117" spans="1:31" x14ac:dyDescent="0.25">
      <c r="A117" s="35" t="str">
        <f>IFERROR(INDEX('G-8 Condition Look up'!$I$4:$I$135,MATCH(F117,'G-8 Condition Look up'!$A$4:$A$135,0)),"")</f>
        <v/>
      </c>
      <c r="C117" s="299" t="str">
        <f>IFERROR(INDEX('G-1 All Habitats'!$AG$3:$AG$17,MATCH(D117,'G-1 All Habitats'!$AF$3:$AF$17,0)),"")</f>
        <v/>
      </c>
      <c r="D117" s="54"/>
      <c r="E117" s="61"/>
      <c r="F117" s="296" t="str">
        <f>IFERROR(INDEX('G-1 All Habitats'!$B$3:$B$134,MATCH(E117,'G-1 All Habitats'!$A$3:$A$134,0)),"")</f>
        <v/>
      </c>
      <c r="G117" s="53"/>
      <c r="H117" s="362" t="str">
        <f>IF(F117="","",VLOOKUP(F117,'G-1 All Habitats'!$B$2:$M$134,10,FALSE))</f>
        <v/>
      </c>
      <c r="I117" s="363" t="str">
        <f>IFERROR(VLOOKUP(H117,'G-1 All Habitats'!$V$3:$W$7,2,FALSE),"")</f>
        <v/>
      </c>
      <c r="J117" s="54"/>
      <c r="K117" s="363" t="str">
        <f>IFERROR(INDEX('G-8 Condition Look up'!$A$3:$H$135,MATCH(F117,'G-8 Condition Look up'!$A$3:$A$135,0),MATCH(J117,'G-8 Condition Look up'!$A$3:$H$3,0)),"")</f>
        <v/>
      </c>
      <c r="L117" s="54"/>
      <c r="M117" s="370" t="str">
        <f>IF(L117="","",IF(VLOOKUP(L117,'G-3 Multipliers'!$L$3:$N$6,2,FALSE)=0,"Spatial Data Missing",VLOOKUP(L117,'G-3 Multipliers'!$L$3:$N$6,2,FALSE)))</f>
        <v/>
      </c>
      <c r="N117" s="368" t="str">
        <f>IF(L117="","",IF(VLOOKUP(L117,'G-3 Multipliers'!$L$3:$N$6,3,FALSE)=0,"Spatial Data Missing",VLOOKUP(L117,'G-3 Multipliers'!$L$3:$N$6,3,FALSE)))</f>
        <v/>
      </c>
      <c r="O117" s="362" t="str">
        <f t="shared" si="6"/>
        <v/>
      </c>
      <c r="P117" s="63"/>
      <c r="Q117" s="63"/>
      <c r="R117" s="370" t="str">
        <f t="shared" si="8"/>
        <v/>
      </c>
      <c r="S117" s="383" t="str">
        <f t="shared" si="9"/>
        <v/>
      </c>
      <c r="T117" s="384"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losses",P117&gt;=O117),"Low",VLOOKUP(F117,'G-3 Multipliers'!$A$2:$E$134,4,FALSE))))</f>
        <v/>
      </c>
      <c r="X117" s="386" t="str">
        <f>IFERROR(IF(E117="","",VLOOKUP(W117, 'G-3 Multipliers'!$P$2:$Q$6,2,FALSE)),"")</f>
        <v/>
      </c>
      <c r="Y117" s="390" t="str">
        <f t="shared" si="10"/>
        <v/>
      </c>
      <c r="Z117" s="194"/>
      <c r="AA117" s="195"/>
      <c r="AB117" s="120"/>
      <c r="AE117" s="40" t="str">
        <f t="shared" si="7"/>
        <v/>
      </c>
    </row>
    <row r="118" spans="1:31" x14ac:dyDescent="0.25">
      <c r="A118" s="35" t="str">
        <f>IFERROR(INDEX('G-8 Condition Look up'!$I$4:$I$135,MATCH(F118,'G-8 Condition Look up'!$A$4:$A$135,0)),"")</f>
        <v/>
      </c>
      <c r="C118" s="299" t="str">
        <f>IFERROR(INDEX('G-1 All Habitats'!$AG$3:$AG$17,MATCH(D118,'G-1 All Habitats'!$AF$3:$AF$17,0)),"")</f>
        <v/>
      </c>
      <c r="D118" s="54"/>
      <c r="E118" s="61"/>
      <c r="F118" s="296" t="str">
        <f>IFERROR(INDEX('G-1 All Habitats'!$B$3:$B$134,MATCH(E118,'G-1 All Habitats'!$A$3:$A$134,0)),"")</f>
        <v/>
      </c>
      <c r="G118" s="53"/>
      <c r="H118" s="362" t="str">
        <f>IF(F118="","",VLOOKUP(F118,'G-1 All Habitats'!$B$2:$M$134,10,FALSE))</f>
        <v/>
      </c>
      <c r="I118" s="363" t="str">
        <f>IFERROR(VLOOKUP(H118,'G-1 All Habitats'!$V$3:$W$7,2,FALSE),"")</f>
        <v/>
      </c>
      <c r="J118" s="54"/>
      <c r="K118" s="363" t="str">
        <f>IFERROR(INDEX('G-8 Condition Look up'!$A$3:$H$135,MATCH(F118,'G-8 Condition Look up'!$A$3:$A$135,0),MATCH(J118,'G-8 Condition Look up'!$A$3:$H$3,0)),"")</f>
        <v/>
      </c>
      <c r="L118" s="54"/>
      <c r="M118" s="370" t="str">
        <f>IF(L118="","",IF(VLOOKUP(L118,'G-3 Multipliers'!$L$3:$N$6,2,FALSE)=0,"Spatial Data Missing",VLOOKUP(L118,'G-3 Multipliers'!$L$3:$N$6,2,FALSE)))</f>
        <v/>
      </c>
      <c r="N118" s="368" t="str">
        <f>IF(L118="","",IF(VLOOKUP(L118,'G-3 Multipliers'!$L$3:$N$6,3,FALSE)=0,"Spatial Data Missing",VLOOKUP(L118,'G-3 Multipliers'!$L$3:$N$6,3,FALSE)))</f>
        <v/>
      </c>
      <c r="O118" s="362" t="str">
        <f t="shared" si="6"/>
        <v/>
      </c>
      <c r="P118" s="63"/>
      <c r="Q118" s="63"/>
      <c r="R118" s="370" t="str">
        <f t="shared" si="8"/>
        <v/>
      </c>
      <c r="S118" s="383" t="str">
        <f t="shared" si="9"/>
        <v/>
      </c>
      <c r="T118" s="384"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losses",P118&gt;=O118),"Low",VLOOKUP(F118,'G-3 Multipliers'!$A$2:$E$134,4,FALSE))))</f>
        <v/>
      </c>
      <c r="X118" s="386" t="str">
        <f>IFERROR(IF(E118="","",VLOOKUP(W118, 'G-3 Multipliers'!$P$2:$Q$6,2,FALSE)),"")</f>
        <v/>
      </c>
      <c r="Y118" s="390" t="str">
        <f t="shared" si="10"/>
        <v/>
      </c>
      <c r="Z118" s="194"/>
      <c r="AA118" s="195"/>
      <c r="AB118" s="120"/>
      <c r="AE118" s="40" t="str">
        <f t="shared" si="7"/>
        <v/>
      </c>
    </row>
    <row r="119" spans="1:31" x14ac:dyDescent="0.25">
      <c r="A119" s="35" t="str">
        <f>IFERROR(INDEX('G-8 Condition Look up'!$I$4:$I$135,MATCH(F119,'G-8 Condition Look up'!$A$4:$A$135,0)),"")</f>
        <v/>
      </c>
      <c r="C119" s="299" t="str">
        <f>IFERROR(INDEX('G-1 All Habitats'!$AG$3:$AG$17,MATCH(D119,'G-1 All Habitats'!$AF$3:$AF$17,0)),"")</f>
        <v/>
      </c>
      <c r="D119" s="54"/>
      <c r="E119" s="61"/>
      <c r="F119" s="296" t="str">
        <f>IFERROR(INDEX('G-1 All Habitats'!$B$3:$B$134,MATCH(E119,'G-1 All Habitats'!$A$3:$A$134,0)),"")</f>
        <v/>
      </c>
      <c r="G119" s="53"/>
      <c r="H119" s="362" t="str">
        <f>IF(F119="","",VLOOKUP(F119,'G-1 All Habitats'!$B$2:$M$134,10,FALSE))</f>
        <v/>
      </c>
      <c r="I119" s="363" t="str">
        <f>IFERROR(VLOOKUP(H119,'G-1 All Habitats'!$V$3:$W$7,2,FALSE),"")</f>
        <v/>
      </c>
      <c r="J119" s="54"/>
      <c r="K119" s="363" t="str">
        <f>IFERROR(INDEX('G-8 Condition Look up'!$A$3:$H$135,MATCH(F119,'G-8 Condition Look up'!$A$3:$A$135,0),MATCH(J119,'G-8 Condition Look up'!$A$3:$H$3,0)),"")</f>
        <v/>
      </c>
      <c r="L119" s="54"/>
      <c r="M119" s="370" t="str">
        <f>IF(L119="","",IF(VLOOKUP(L119,'G-3 Multipliers'!$L$3:$N$6,2,FALSE)=0,"Spatial Data Missing",VLOOKUP(L119,'G-3 Multipliers'!$L$3:$N$6,2,FALSE)))</f>
        <v/>
      </c>
      <c r="N119" s="368" t="str">
        <f>IF(L119="","",IF(VLOOKUP(L119,'G-3 Multipliers'!$L$3:$N$6,3,FALSE)=0,"Spatial Data Missing",VLOOKUP(L119,'G-3 Multipliers'!$L$3:$N$6,3,FALSE)))</f>
        <v/>
      </c>
      <c r="O119" s="362" t="str">
        <f t="shared" si="6"/>
        <v/>
      </c>
      <c r="P119" s="63"/>
      <c r="Q119" s="63"/>
      <c r="R119" s="370" t="str">
        <f t="shared" si="8"/>
        <v/>
      </c>
      <c r="S119" s="383" t="str">
        <f t="shared" si="9"/>
        <v/>
      </c>
      <c r="T119" s="384"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losses",P119&gt;=O119),"Low",VLOOKUP(F119,'G-3 Multipliers'!$A$2:$E$134,4,FALSE))))</f>
        <v/>
      </c>
      <c r="X119" s="386" t="str">
        <f>IFERROR(IF(E119="","",VLOOKUP(W119, 'G-3 Multipliers'!$P$2:$Q$6,2,FALSE)),"")</f>
        <v/>
      </c>
      <c r="Y119" s="390" t="str">
        <f t="shared" si="10"/>
        <v/>
      </c>
      <c r="Z119" s="194"/>
      <c r="AA119" s="195"/>
      <c r="AB119" s="120"/>
      <c r="AE119" s="40" t="str">
        <f t="shared" si="7"/>
        <v/>
      </c>
    </row>
    <row r="120" spans="1:31" x14ac:dyDescent="0.25">
      <c r="A120" s="35" t="str">
        <f>IFERROR(INDEX('G-8 Condition Look up'!$I$4:$I$135,MATCH(F120,'G-8 Condition Look up'!$A$4:$A$135,0)),"")</f>
        <v/>
      </c>
      <c r="C120" s="299" t="str">
        <f>IFERROR(INDEX('G-1 All Habitats'!$AG$3:$AG$17,MATCH(D120,'G-1 All Habitats'!$AF$3:$AF$17,0)),"")</f>
        <v/>
      </c>
      <c r="D120" s="54"/>
      <c r="E120" s="61"/>
      <c r="F120" s="296" t="str">
        <f>IFERROR(INDEX('G-1 All Habitats'!$B$3:$B$134,MATCH(E120,'G-1 All Habitats'!$A$3:$A$134,0)),"")</f>
        <v/>
      </c>
      <c r="G120" s="53"/>
      <c r="H120" s="362" t="str">
        <f>IF(F120="","",VLOOKUP(F120,'G-1 All Habitats'!$B$2:$M$134,10,FALSE))</f>
        <v/>
      </c>
      <c r="I120" s="363" t="str">
        <f>IFERROR(VLOOKUP(H120,'G-1 All Habitats'!$V$3:$W$7,2,FALSE),"")</f>
        <v/>
      </c>
      <c r="J120" s="54"/>
      <c r="K120" s="363" t="str">
        <f>IFERROR(INDEX('G-8 Condition Look up'!$A$3:$H$135,MATCH(F120,'G-8 Condition Look up'!$A$3:$A$135,0),MATCH(J120,'G-8 Condition Look up'!$A$3:$H$3,0)),"")</f>
        <v/>
      </c>
      <c r="L120" s="54"/>
      <c r="M120" s="370" t="str">
        <f>IF(L120="","",IF(VLOOKUP(L120,'G-3 Multipliers'!$L$3:$N$6,2,FALSE)=0,"Spatial Data Missing",VLOOKUP(L120,'G-3 Multipliers'!$L$3:$N$6,2,FALSE)))</f>
        <v/>
      </c>
      <c r="N120" s="368" t="str">
        <f>IF(L120="","",IF(VLOOKUP(L120,'G-3 Multipliers'!$L$3:$N$6,3,FALSE)=0,"Spatial Data Missing",VLOOKUP(L120,'G-3 Multipliers'!$L$3:$N$6,3,FALSE)))</f>
        <v/>
      </c>
      <c r="O120" s="362" t="str">
        <f t="shared" si="6"/>
        <v/>
      </c>
      <c r="P120" s="63"/>
      <c r="Q120" s="63"/>
      <c r="R120" s="370" t="str">
        <f t="shared" si="8"/>
        <v/>
      </c>
      <c r="S120" s="383" t="str">
        <f t="shared" si="9"/>
        <v/>
      </c>
      <c r="T120" s="384"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losses",P120&gt;=O120),"Low",VLOOKUP(F120,'G-3 Multipliers'!$A$2:$E$134,4,FALSE))))</f>
        <v/>
      </c>
      <c r="X120" s="386" t="str">
        <f>IFERROR(IF(E120="","",VLOOKUP(W120, 'G-3 Multipliers'!$P$2:$Q$6,2,FALSE)),"")</f>
        <v/>
      </c>
      <c r="Y120" s="390" t="str">
        <f t="shared" si="10"/>
        <v/>
      </c>
      <c r="Z120" s="194"/>
      <c r="AA120" s="195"/>
      <c r="AB120" s="120"/>
      <c r="AE120" s="40" t="str">
        <f t="shared" si="7"/>
        <v/>
      </c>
    </row>
    <row r="121" spans="1:31" x14ac:dyDescent="0.25">
      <c r="A121" s="35" t="str">
        <f>IFERROR(INDEX('G-8 Condition Look up'!$I$4:$I$135,MATCH(F121,'G-8 Condition Look up'!$A$4:$A$135,0)),"")</f>
        <v/>
      </c>
      <c r="C121" s="299" t="str">
        <f>IFERROR(INDEX('G-1 All Habitats'!$AG$3:$AG$17,MATCH(D121,'G-1 All Habitats'!$AF$3:$AF$17,0)),"")</f>
        <v/>
      </c>
      <c r="D121" s="54"/>
      <c r="E121" s="61"/>
      <c r="F121" s="296" t="str">
        <f>IFERROR(INDEX('G-1 All Habitats'!$B$3:$B$134,MATCH(E121,'G-1 All Habitats'!$A$3:$A$134,0)),"")</f>
        <v/>
      </c>
      <c r="G121" s="53"/>
      <c r="H121" s="362" t="str">
        <f>IF(F121="","",VLOOKUP(F121,'G-1 All Habitats'!$B$2:$M$134,10,FALSE))</f>
        <v/>
      </c>
      <c r="I121" s="363" t="str">
        <f>IFERROR(VLOOKUP(H121,'G-1 All Habitats'!$V$3:$W$7,2,FALSE),"")</f>
        <v/>
      </c>
      <c r="J121" s="54"/>
      <c r="K121" s="363" t="str">
        <f>IFERROR(INDEX('G-8 Condition Look up'!$A$3:$H$135,MATCH(F121,'G-8 Condition Look up'!$A$3:$A$135,0),MATCH(J121,'G-8 Condition Look up'!$A$3:$H$3,0)),"")</f>
        <v/>
      </c>
      <c r="L121" s="54"/>
      <c r="M121" s="370" t="str">
        <f>IF(L121="","",IF(VLOOKUP(L121,'G-3 Multipliers'!$L$3:$N$6,2,FALSE)=0,"Spatial Data Missing",VLOOKUP(L121,'G-3 Multipliers'!$L$3:$N$6,2,FALSE)))</f>
        <v/>
      </c>
      <c r="N121" s="368" t="str">
        <f>IF(L121="","",IF(VLOOKUP(L121,'G-3 Multipliers'!$L$3:$N$6,3,FALSE)=0,"Spatial Data Missing",VLOOKUP(L121,'G-3 Multipliers'!$L$3:$N$6,3,FALSE)))</f>
        <v/>
      </c>
      <c r="O121" s="362" t="str">
        <f t="shared" si="6"/>
        <v/>
      </c>
      <c r="P121" s="63"/>
      <c r="Q121" s="63"/>
      <c r="R121" s="370" t="str">
        <f t="shared" si="8"/>
        <v/>
      </c>
      <c r="S121" s="383" t="str">
        <f t="shared" si="9"/>
        <v/>
      </c>
      <c r="T121" s="384"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losses",P121&gt;=O121),"Low",VLOOKUP(F121,'G-3 Multipliers'!$A$2:$E$134,4,FALSE))))</f>
        <v/>
      </c>
      <c r="X121" s="386" t="str">
        <f>IFERROR(IF(E121="","",VLOOKUP(W121, 'G-3 Multipliers'!$P$2:$Q$6,2,FALSE)),"")</f>
        <v/>
      </c>
      <c r="Y121" s="390" t="str">
        <f t="shared" si="10"/>
        <v/>
      </c>
      <c r="Z121" s="194"/>
      <c r="AA121" s="195"/>
      <c r="AB121" s="120"/>
      <c r="AE121" s="40" t="str">
        <f t="shared" si="7"/>
        <v/>
      </c>
    </row>
    <row r="122" spans="1:31" x14ac:dyDescent="0.25">
      <c r="A122" s="35" t="str">
        <f>IFERROR(INDEX('G-8 Condition Look up'!$I$4:$I$135,MATCH(F122,'G-8 Condition Look up'!$A$4:$A$135,0)),"")</f>
        <v/>
      </c>
      <c r="C122" s="299" t="str">
        <f>IFERROR(INDEX('G-1 All Habitats'!$AG$3:$AG$17,MATCH(D122,'G-1 All Habitats'!$AF$3:$AF$17,0)),"")</f>
        <v/>
      </c>
      <c r="D122" s="54"/>
      <c r="E122" s="61"/>
      <c r="F122" s="296" t="str">
        <f>IFERROR(INDEX('G-1 All Habitats'!$B$3:$B$134,MATCH(E122,'G-1 All Habitats'!$A$3:$A$134,0)),"")</f>
        <v/>
      </c>
      <c r="G122" s="53"/>
      <c r="H122" s="362" t="str">
        <f>IF(F122="","",VLOOKUP(F122,'G-1 All Habitats'!$B$2:$M$134,10,FALSE))</f>
        <v/>
      </c>
      <c r="I122" s="363" t="str">
        <f>IFERROR(VLOOKUP(H122,'G-1 All Habitats'!$V$3:$W$7,2,FALSE),"")</f>
        <v/>
      </c>
      <c r="J122" s="54"/>
      <c r="K122" s="363" t="str">
        <f>IFERROR(INDEX('G-8 Condition Look up'!$A$3:$H$135,MATCH(F122,'G-8 Condition Look up'!$A$3:$A$135,0),MATCH(J122,'G-8 Condition Look up'!$A$3:$H$3,0)),"")</f>
        <v/>
      </c>
      <c r="L122" s="54"/>
      <c r="M122" s="370" t="str">
        <f>IF(L122="","",IF(VLOOKUP(L122,'G-3 Multipliers'!$L$3:$N$6,2,FALSE)=0,"Spatial Data Missing",VLOOKUP(L122,'G-3 Multipliers'!$L$3:$N$6,2,FALSE)))</f>
        <v/>
      </c>
      <c r="N122" s="368" t="str">
        <f>IF(L122="","",IF(VLOOKUP(L122,'G-3 Multipliers'!$L$3:$N$6,3,FALSE)=0,"Spatial Data Missing",VLOOKUP(L122,'G-3 Multipliers'!$L$3:$N$6,3,FALSE)))</f>
        <v/>
      </c>
      <c r="O122" s="362" t="str">
        <f t="shared" si="6"/>
        <v/>
      </c>
      <c r="P122" s="63"/>
      <c r="Q122" s="63"/>
      <c r="R122" s="370" t="str">
        <f t="shared" si="8"/>
        <v/>
      </c>
      <c r="S122" s="383" t="str">
        <f t="shared" si="9"/>
        <v/>
      </c>
      <c r="T122" s="384"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losses",P122&gt;=O122),"Low",VLOOKUP(F122,'G-3 Multipliers'!$A$2:$E$134,4,FALSE))))</f>
        <v/>
      </c>
      <c r="X122" s="386" t="str">
        <f>IFERROR(IF(E122="","",VLOOKUP(W122, 'G-3 Multipliers'!$P$2:$Q$6,2,FALSE)),"")</f>
        <v/>
      </c>
      <c r="Y122" s="390" t="str">
        <f t="shared" si="10"/>
        <v/>
      </c>
      <c r="Z122" s="194"/>
      <c r="AA122" s="195"/>
      <c r="AB122" s="120"/>
      <c r="AE122" s="40" t="str">
        <f t="shared" si="7"/>
        <v/>
      </c>
    </row>
    <row r="123" spans="1:31" x14ac:dyDescent="0.25">
      <c r="A123" s="35" t="str">
        <f>IFERROR(INDEX('G-8 Condition Look up'!$I$4:$I$135,MATCH(F123,'G-8 Condition Look up'!$A$4:$A$135,0)),"")</f>
        <v/>
      </c>
      <c r="C123" s="299" t="str">
        <f>IFERROR(INDEX('G-1 All Habitats'!$AG$3:$AG$17,MATCH(D123,'G-1 All Habitats'!$AF$3:$AF$17,0)),"")</f>
        <v/>
      </c>
      <c r="D123" s="54"/>
      <c r="E123" s="61"/>
      <c r="F123" s="296" t="str">
        <f>IFERROR(INDEX('G-1 All Habitats'!$B$3:$B$134,MATCH(E123,'G-1 All Habitats'!$A$3:$A$134,0)),"")</f>
        <v/>
      </c>
      <c r="G123" s="53"/>
      <c r="H123" s="362" t="str">
        <f>IF(F123="","",VLOOKUP(F123,'G-1 All Habitats'!$B$2:$M$134,10,FALSE))</f>
        <v/>
      </c>
      <c r="I123" s="363" t="str">
        <f>IFERROR(VLOOKUP(H123,'G-1 All Habitats'!$V$3:$W$7,2,FALSE),"")</f>
        <v/>
      </c>
      <c r="J123" s="54"/>
      <c r="K123" s="363" t="str">
        <f>IFERROR(INDEX('G-8 Condition Look up'!$A$3:$H$135,MATCH(F123,'G-8 Condition Look up'!$A$3:$A$135,0),MATCH(J123,'G-8 Condition Look up'!$A$3:$H$3,0)),"")</f>
        <v/>
      </c>
      <c r="L123" s="54"/>
      <c r="M123" s="370" t="str">
        <f>IF(L123="","",IF(VLOOKUP(L123,'G-3 Multipliers'!$L$3:$N$6,2,FALSE)=0,"Spatial Data Missing",VLOOKUP(L123,'G-3 Multipliers'!$L$3:$N$6,2,FALSE)))</f>
        <v/>
      </c>
      <c r="N123" s="368" t="str">
        <f>IF(L123="","",IF(VLOOKUP(L123,'G-3 Multipliers'!$L$3:$N$6,3,FALSE)=0,"Spatial Data Missing",VLOOKUP(L123,'G-3 Multipliers'!$L$3:$N$6,3,FALSE)))</f>
        <v/>
      </c>
      <c r="O123" s="362" t="str">
        <f t="shared" si="6"/>
        <v/>
      </c>
      <c r="P123" s="63"/>
      <c r="Q123" s="63"/>
      <c r="R123" s="370" t="str">
        <f t="shared" si="8"/>
        <v/>
      </c>
      <c r="S123" s="383" t="str">
        <f t="shared" si="9"/>
        <v/>
      </c>
      <c r="T123" s="384"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losses",P123&gt;=O123),"Low",VLOOKUP(F123,'G-3 Multipliers'!$A$2:$E$134,4,FALSE))))</f>
        <v/>
      </c>
      <c r="X123" s="386" t="str">
        <f>IFERROR(IF(E123="","",VLOOKUP(W123, 'G-3 Multipliers'!$P$2:$Q$6,2,FALSE)),"")</f>
        <v/>
      </c>
      <c r="Y123" s="390" t="str">
        <f t="shared" si="10"/>
        <v/>
      </c>
      <c r="Z123" s="194"/>
      <c r="AA123" s="195"/>
      <c r="AB123" s="120"/>
      <c r="AE123" s="40" t="str">
        <f t="shared" si="7"/>
        <v/>
      </c>
    </row>
    <row r="124" spans="1:31" x14ac:dyDescent="0.25">
      <c r="A124" s="35" t="str">
        <f>IFERROR(INDEX('G-8 Condition Look up'!$I$4:$I$135,MATCH(F124,'G-8 Condition Look up'!$A$4:$A$135,0)),"")</f>
        <v/>
      </c>
      <c r="C124" s="299" t="str">
        <f>IFERROR(INDEX('G-1 All Habitats'!$AG$3:$AG$17,MATCH(D124,'G-1 All Habitats'!$AF$3:$AF$17,0)),"")</f>
        <v/>
      </c>
      <c r="D124" s="54"/>
      <c r="E124" s="61"/>
      <c r="F124" s="296" t="str">
        <f>IFERROR(INDEX('G-1 All Habitats'!$B$3:$B$134,MATCH(E124,'G-1 All Habitats'!$A$3:$A$134,0)),"")</f>
        <v/>
      </c>
      <c r="G124" s="53"/>
      <c r="H124" s="362" t="str">
        <f>IF(F124="","",VLOOKUP(F124,'G-1 All Habitats'!$B$2:$M$134,10,FALSE))</f>
        <v/>
      </c>
      <c r="I124" s="363" t="str">
        <f>IFERROR(VLOOKUP(H124,'G-1 All Habitats'!$V$3:$W$7,2,FALSE),"")</f>
        <v/>
      </c>
      <c r="J124" s="54"/>
      <c r="K124" s="363" t="str">
        <f>IFERROR(INDEX('G-8 Condition Look up'!$A$3:$H$135,MATCH(F124,'G-8 Condition Look up'!$A$3:$A$135,0),MATCH(J124,'G-8 Condition Look up'!$A$3:$H$3,0)),"")</f>
        <v/>
      </c>
      <c r="L124" s="54"/>
      <c r="M124" s="370" t="str">
        <f>IF(L124="","",IF(VLOOKUP(L124,'G-3 Multipliers'!$L$3:$N$6,2,FALSE)=0,"Spatial Data Missing",VLOOKUP(L124,'G-3 Multipliers'!$L$3:$N$6,2,FALSE)))</f>
        <v/>
      </c>
      <c r="N124" s="368" t="str">
        <f>IF(L124="","",IF(VLOOKUP(L124,'G-3 Multipliers'!$L$3:$N$6,3,FALSE)=0,"Spatial Data Missing",VLOOKUP(L124,'G-3 Multipliers'!$L$3:$N$6,3,FALSE)))</f>
        <v/>
      </c>
      <c r="O124" s="362" t="str">
        <f t="shared" si="6"/>
        <v/>
      </c>
      <c r="P124" s="63"/>
      <c r="Q124" s="63"/>
      <c r="R124" s="370" t="str">
        <f t="shared" si="8"/>
        <v/>
      </c>
      <c r="S124" s="383" t="str">
        <f t="shared" si="9"/>
        <v/>
      </c>
      <c r="T124" s="384"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losses",P124&gt;=O124),"Low",VLOOKUP(F124,'G-3 Multipliers'!$A$2:$E$134,4,FALSE))))</f>
        <v/>
      </c>
      <c r="X124" s="386" t="str">
        <f>IFERROR(IF(E124="","",VLOOKUP(W124, 'G-3 Multipliers'!$P$2:$Q$6,2,FALSE)),"")</f>
        <v/>
      </c>
      <c r="Y124" s="390" t="str">
        <f t="shared" si="10"/>
        <v/>
      </c>
      <c r="Z124" s="194"/>
      <c r="AA124" s="195"/>
      <c r="AB124" s="120"/>
      <c r="AE124" s="40" t="str">
        <f t="shared" si="7"/>
        <v/>
      </c>
    </row>
    <row r="125" spans="1:31" x14ac:dyDescent="0.25">
      <c r="A125" s="35" t="str">
        <f>IFERROR(INDEX('G-8 Condition Look up'!$I$4:$I$135,MATCH(F125,'G-8 Condition Look up'!$A$4:$A$135,0)),"")</f>
        <v/>
      </c>
      <c r="C125" s="299" t="str">
        <f>IFERROR(INDEX('G-1 All Habitats'!$AG$3:$AG$17,MATCH(D125,'G-1 All Habitats'!$AF$3:$AF$17,0)),"")</f>
        <v/>
      </c>
      <c r="D125" s="54"/>
      <c r="E125" s="61"/>
      <c r="F125" s="296" t="str">
        <f>IFERROR(INDEX('G-1 All Habitats'!$B$3:$B$134,MATCH(E125,'G-1 All Habitats'!$A$3:$A$134,0)),"")</f>
        <v/>
      </c>
      <c r="G125" s="53"/>
      <c r="H125" s="362" t="str">
        <f>IF(F125="","",VLOOKUP(F125,'G-1 All Habitats'!$B$2:$M$134,10,FALSE))</f>
        <v/>
      </c>
      <c r="I125" s="363" t="str">
        <f>IFERROR(VLOOKUP(H125,'G-1 All Habitats'!$V$3:$W$7,2,FALSE),"")</f>
        <v/>
      </c>
      <c r="J125" s="54"/>
      <c r="K125" s="363" t="str">
        <f>IFERROR(INDEX('G-8 Condition Look up'!$A$3:$H$135,MATCH(F125,'G-8 Condition Look up'!$A$3:$A$135,0),MATCH(J125,'G-8 Condition Look up'!$A$3:$H$3,0)),"")</f>
        <v/>
      </c>
      <c r="L125" s="54"/>
      <c r="M125" s="370" t="str">
        <f>IF(L125="","",IF(VLOOKUP(L125,'G-3 Multipliers'!$L$3:$N$6,2,FALSE)=0,"Spatial Data Missing",VLOOKUP(L125,'G-3 Multipliers'!$L$3:$N$6,2,FALSE)))</f>
        <v/>
      </c>
      <c r="N125" s="368" t="str">
        <f>IF(L125="","",IF(VLOOKUP(L125,'G-3 Multipliers'!$L$3:$N$6,3,FALSE)=0,"Spatial Data Missing",VLOOKUP(L125,'G-3 Multipliers'!$L$3:$N$6,3,FALSE)))</f>
        <v/>
      </c>
      <c r="O125" s="362" t="str">
        <f t="shared" si="6"/>
        <v/>
      </c>
      <c r="P125" s="63"/>
      <c r="Q125" s="63"/>
      <c r="R125" s="370" t="str">
        <f t="shared" si="8"/>
        <v/>
      </c>
      <c r="S125" s="383" t="str">
        <f t="shared" si="9"/>
        <v/>
      </c>
      <c r="T125" s="384"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losses",P125&gt;=O125),"Low",VLOOKUP(F125,'G-3 Multipliers'!$A$2:$E$134,4,FALSE))))</f>
        <v/>
      </c>
      <c r="X125" s="386" t="str">
        <f>IFERROR(IF(E125="","",VLOOKUP(W125, 'G-3 Multipliers'!$P$2:$Q$6,2,FALSE)),"")</f>
        <v/>
      </c>
      <c r="Y125" s="390" t="str">
        <f t="shared" si="10"/>
        <v/>
      </c>
      <c r="Z125" s="194"/>
      <c r="AA125" s="195"/>
      <c r="AB125" s="120"/>
      <c r="AE125" s="40" t="str">
        <f t="shared" si="7"/>
        <v/>
      </c>
    </row>
    <row r="126" spans="1:31" x14ac:dyDescent="0.25">
      <c r="A126" s="35" t="str">
        <f>IFERROR(INDEX('G-8 Condition Look up'!$I$4:$I$135,MATCH(F126,'G-8 Condition Look up'!$A$4:$A$135,0)),"")</f>
        <v/>
      </c>
      <c r="C126" s="299" t="str">
        <f>IFERROR(INDEX('G-1 All Habitats'!$AG$3:$AG$17,MATCH(D126,'G-1 All Habitats'!$AF$3:$AF$17,0)),"")</f>
        <v/>
      </c>
      <c r="D126" s="54"/>
      <c r="E126" s="61"/>
      <c r="F126" s="296" t="str">
        <f>IFERROR(INDEX('G-1 All Habitats'!$B$3:$B$134,MATCH(E126,'G-1 All Habitats'!$A$3:$A$134,0)),"")</f>
        <v/>
      </c>
      <c r="G126" s="53"/>
      <c r="H126" s="362" t="str">
        <f>IF(F126="","",VLOOKUP(F126,'G-1 All Habitats'!$B$2:$M$134,10,FALSE))</f>
        <v/>
      </c>
      <c r="I126" s="363" t="str">
        <f>IFERROR(VLOOKUP(H126,'G-1 All Habitats'!$V$3:$W$7,2,FALSE),"")</f>
        <v/>
      </c>
      <c r="J126" s="54"/>
      <c r="K126" s="363" t="str">
        <f>IFERROR(INDEX('G-8 Condition Look up'!$A$3:$H$135,MATCH(F126,'G-8 Condition Look up'!$A$3:$A$135,0),MATCH(J126,'G-8 Condition Look up'!$A$3:$H$3,0)),"")</f>
        <v/>
      </c>
      <c r="L126" s="54"/>
      <c r="M126" s="370" t="str">
        <f>IF(L126="","",IF(VLOOKUP(L126,'G-3 Multipliers'!$L$3:$N$6,2,FALSE)=0,"Spatial Data Missing",VLOOKUP(L126,'G-3 Multipliers'!$L$3:$N$6,2,FALSE)))</f>
        <v/>
      </c>
      <c r="N126" s="368" t="str">
        <f>IF(L126="","",IF(VLOOKUP(L126,'G-3 Multipliers'!$L$3:$N$6,3,FALSE)=0,"Spatial Data Missing",VLOOKUP(L126,'G-3 Multipliers'!$L$3:$N$6,3,FALSE)))</f>
        <v/>
      </c>
      <c r="O126" s="362" t="str">
        <f t="shared" si="6"/>
        <v/>
      </c>
      <c r="P126" s="63"/>
      <c r="Q126" s="63"/>
      <c r="R126" s="370" t="str">
        <f t="shared" si="8"/>
        <v/>
      </c>
      <c r="S126" s="383" t="str">
        <f t="shared" si="9"/>
        <v/>
      </c>
      <c r="T126" s="384"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losses",P126&gt;=O126),"Low",VLOOKUP(F126,'G-3 Multipliers'!$A$2:$E$134,4,FALSE))))</f>
        <v/>
      </c>
      <c r="X126" s="386" t="str">
        <f>IFERROR(IF(E126="","",VLOOKUP(W126, 'G-3 Multipliers'!$P$2:$Q$6,2,FALSE)),"")</f>
        <v/>
      </c>
      <c r="Y126" s="390" t="str">
        <f t="shared" si="10"/>
        <v/>
      </c>
      <c r="Z126" s="194"/>
      <c r="AA126" s="195"/>
      <c r="AB126" s="120"/>
      <c r="AE126" s="40" t="str">
        <f t="shared" si="7"/>
        <v/>
      </c>
    </row>
    <row r="127" spans="1:31" x14ac:dyDescent="0.25">
      <c r="A127" s="35" t="str">
        <f>IFERROR(INDEX('G-8 Condition Look up'!$I$4:$I$135,MATCH(F127,'G-8 Condition Look up'!$A$4:$A$135,0)),"")</f>
        <v/>
      </c>
      <c r="C127" s="299" t="str">
        <f>IFERROR(INDEX('G-1 All Habitats'!$AG$3:$AG$17,MATCH(D127,'G-1 All Habitats'!$AF$3:$AF$17,0)),"")</f>
        <v/>
      </c>
      <c r="D127" s="54"/>
      <c r="E127" s="61"/>
      <c r="F127" s="296" t="str">
        <f>IFERROR(INDEX('G-1 All Habitats'!$B$3:$B$134,MATCH(E127,'G-1 All Habitats'!$A$3:$A$134,0)),"")</f>
        <v/>
      </c>
      <c r="G127" s="53"/>
      <c r="H127" s="362" t="str">
        <f>IF(F127="","",VLOOKUP(F127,'G-1 All Habitats'!$B$2:$M$134,10,FALSE))</f>
        <v/>
      </c>
      <c r="I127" s="363" t="str">
        <f>IFERROR(VLOOKUP(H127,'G-1 All Habitats'!$V$3:$W$7,2,FALSE),"")</f>
        <v/>
      </c>
      <c r="J127" s="54"/>
      <c r="K127" s="363" t="str">
        <f>IFERROR(INDEX('G-8 Condition Look up'!$A$3:$H$135,MATCH(F127,'G-8 Condition Look up'!$A$3:$A$135,0),MATCH(J127,'G-8 Condition Look up'!$A$3:$H$3,0)),"")</f>
        <v/>
      </c>
      <c r="L127" s="54"/>
      <c r="M127" s="370" t="str">
        <f>IF(L127="","",IF(VLOOKUP(L127,'G-3 Multipliers'!$L$3:$N$6,2,FALSE)=0,"Spatial Data Missing",VLOOKUP(L127,'G-3 Multipliers'!$L$3:$N$6,2,FALSE)))</f>
        <v/>
      </c>
      <c r="N127" s="368" t="str">
        <f>IF(L127="","",IF(VLOOKUP(L127,'G-3 Multipliers'!$L$3:$N$6,3,FALSE)=0,"Spatial Data Missing",VLOOKUP(L127,'G-3 Multipliers'!$L$3:$N$6,3,FALSE)))</f>
        <v/>
      </c>
      <c r="O127" s="362" t="str">
        <f t="shared" si="6"/>
        <v/>
      </c>
      <c r="P127" s="63"/>
      <c r="Q127" s="63"/>
      <c r="R127" s="370" t="str">
        <f t="shared" si="8"/>
        <v/>
      </c>
      <c r="S127" s="383" t="str">
        <f t="shared" si="9"/>
        <v/>
      </c>
      <c r="T127" s="384"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losses",P127&gt;=O127),"Low",VLOOKUP(F127,'G-3 Multipliers'!$A$2:$E$134,4,FALSE))))</f>
        <v/>
      </c>
      <c r="X127" s="386" t="str">
        <f>IFERROR(IF(E127="","",VLOOKUP(W127, 'G-3 Multipliers'!$P$2:$Q$6,2,FALSE)),"")</f>
        <v/>
      </c>
      <c r="Y127" s="390" t="str">
        <f t="shared" si="10"/>
        <v/>
      </c>
      <c r="Z127" s="194"/>
      <c r="AA127" s="195"/>
      <c r="AB127" s="120"/>
      <c r="AE127" s="40" t="str">
        <f t="shared" si="7"/>
        <v/>
      </c>
    </row>
    <row r="128" spans="1:31" x14ac:dyDescent="0.25">
      <c r="A128" s="35" t="str">
        <f>IFERROR(INDEX('G-8 Condition Look up'!$I$4:$I$135,MATCH(F128,'G-8 Condition Look up'!$A$4:$A$135,0)),"")</f>
        <v/>
      </c>
      <c r="C128" s="299" t="str">
        <f>IFERROR(INDEX('G-1 All Habitats'!$AG$3:$AG$17,MATCH(D128,'G-1 All Habitats'!$AF$3:$AF$17,0)),"")</f>
        <v/>
      </c>
      <c r="D128" s="54"/>
      <c r="E128" s="61"/>
      <c r="F128" s="296" t="str">
        <f>IFERROR(INDEX('G-1 All Habitats'!$B$3:$B$134,MATCH(E128,'G-1 All Habitats'!$A$3:$A$134,0)),"")</f>
        <v/>
      </c>
      <c r="G128" s="53"/>
      <c r="H128" s="362" t="str">
        <f>IF(F128="","",VLOOKUP(F128,'G-1 All Habitats'!$B$2:$M$134,10,FALSE))</f>
        <v/>
      </c>
      <c r="I128" s="363" t="str">
        <f>IFERROR(VLOOKUP(H128,'G-1 All Habitats'!$V$3:$W$7,2,FALSE),"")</f>
        <v/>
      </c>
      <c r="J128" s="54"/>
      <c r="K128" s="363" t="str">
        <f>IFERROR(INDEX('G-8 Condition Look up'!$A$3:$H$135,MATCH(F128,'G-8 Condition Look up'!$A$3:$A$135,0),MATCH(J128,'G-8 Condition Look up'!$A$3:$H$3,0)),"")</f>
        <v/>
      </c>
      <c r="L128" s="54"/>
      <c r="M128" s="370" t="str">
        <f>IF(L128="","",IF(VLOOKUP(L128,'G-3 Multipliers'!$L$3:$N$6,2,FALSE)=0,"Spatial Data Missing",VLOOKUP(L128,'G-3 Multipliers'!$L$3:$N$6,2,FALSE)))</f>
        <v/>
      </c>
      <c r="N128" s="368" t="str">
        <f>IF(L128="","",IF(VLOOKUP(L128,'G-3 Multipliers'!$L$3:$N$6,3,FALSE)=0,"Spatial Data Missing",VLOOKUP(L128,'G-3 Multipliers'!$L$3:$N$6,3,FALSE)))</f>
        <v/>
      </c>
      <c r="O128" s="362" t="str">
        <f t="shared" si="6"/>
        <v/>
      </c>
      <c r="P128" s="63"/>
      <c r="Q128" s="63"/>
      <c r="R128" s="370" t="str">
        <f t="shared" si="8"/>
        <v/>
      </c>
      <c r="S128" s="383" t="str">
        <f t="shared" si="9"/>
        <v/>
      </c>
      <c r="T128" s="384"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losses",P128&gt;=O128),"Low",VLOOKUP(F128,'G-3 Multipliers'!$A$2:$E$134,4,FALSE))))</f>
        <v/>
      </c>
      <c r="X128" s="386" t="str">
        <f>IFERROR(IF(E128="","",VLOOKUP(W128, 'G-3 Multipliers'!$P$2:$Q$6,2,FALSE)),"")</f>
        <v/>
      </c>
      <c r="Y128" s="390" t="str">
        <f t="shared" si="10"/>
        <v/>
      </c>
      <c r="Z128" s="194"/>
      <c r="AA128" s="195"/>
      <c r="AB128" s="120"/>
      <c r="AE128" s="40" t="str">
        <f t="shared" si="7"/>
        <v/>
      </c>
    </row>
    <row r="129" spans="1:31" x14ac:dyDescent="0.25">
      <c r="A129" s="35" t="str">
        <f>IFERROR(INDEX('G-8 Condition Look up'!$I$4:$I$135,MATCH(F129,'G-8 Condition Look up'!$A$4:$A$135,0)),"")</f>
        <v/>
      </c>
      <c r="C129" s="299" t="str">
        <f>IFERROR(INDEX('G-1 All Habitats'!$AG$3:$AG$17,MATCH(D129,'G-1 All Habitats'!$AF$3:$AF$17,0)),"")</f>
        <v/>
      </c>
      <c r="D129" s="54"/>
      <c r="E129" s="61"/>
      <c r="F129" s="296" t="str">
        <f>IFERROR(INDEX('G-1 All Habitats'!$B$3:$B$134,MATCH(E129,'G-1 All Habitats'!$A$3:$A$134,0)),"")</f>
        <v/>
      </c>
      <c r="G129" s="53"/>
      <c r="H129" s="362" t="str">
        <f>IF(F129="","",VLOOKUP(F129,'G-1 All Habitats'!$B$2:$M$134,10,FALSE))</f>
        <v/>
      </c>
      <c r="I129" s="363" t="str">
        <f>IFERROR(VLOOKUP(H129,'G-1 All Habitats'!$V$3:$W$7,2,FALSE),"")</f>
        <v/>
      </c>
      <c r="J129" s="54"/>
      <c r="K129" s="363" t="str">
        <f>IFERROR(INDEX('G-8 Condition Look up'!$A$3:$H$135,MATCH(F129,'G-8 Condition Look up'!$A$3:$A$135,0),MATCH(J129,'G-8 Condition Look up'!$A$3:$H$3,0)),"")</f>
        <v/>
      </c>
      <c r="L129" s="54"/>
      <c r="M129" s="370" t="str">
        <f>IF(L129="","",IF(VLOOKUP(L129,'G-3 Multipliers'!$L$3:$N$6,2,FALSE)=0,"Spatial Data Missing",VLOOKUP(L129,'G-3 Multipliers'!$L$3:$N$6,2,FALSE)))</f>
        <v/>
      </c>
      <c r="N129" s="368" t="str">
        <f>IF(L129="","",IF(VLOOKUP(L129,'G-3 Multipliers'!$L$3:$N$6,3,FALSE)=0,"Spatial Data Missing",VLOOKUP(L129,'G-3 Multipliers'!$L$3:$N$6,3,FALSE)))</f>
        <v/>
      </c>
      <c r="O129" s="362" t="str">
        <f t="shared" si="6"/>
        <v/>
      </c>
      <c r="P129" s="63"/>
      <c r="Q129" s="63"/>
      <c r="R129" s="370" t="str">
        <f t="shared" si="8"/>
        <v/>
      </c>
      <c r="S129" s="383" t="str">
        <f t="shared" si="9"/>
        <v/>
      </c>
      <c r="T129" s="384"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losses",P129&gt;=O129),"Low",VLOOKUP(F129,'G-3 Multipliers'!$A$2:$E$134,4,FALSE))))</f>
        <v/>
      </c>
      <c r="X129" s="386" t="str">
        <f>IFERROR(IF(E129="","",VLOOKUP(W129, 'G-3 Multipliers'!$P$2:$Q$6,2,FALSE)),"")</f>
        <v/>
      </c>
      <c r="Y129" s="390" t="str">
        <f t="shared" si="10"/>
        <v/>
      </c>
      <c r="Z129" s="194"/>
      <c r="AA129" s="195"/>
      <c r="AB129" s="120"/>
      <c r="AE129" s="40" t="str">
        <f t="shared" si="7"/>
        <v/>
      </c>
    </row>
    <row r="130" spans="1:31" x14ac:dyDescent="0.25">
      <c r="A130" s="35" t="str">
        <f>IFERROR(INDEX('G-8 Condition Look up'!$I$4:$I$135,MATCH(F130,'G-8 Condition Look up'!$A$4:$A$135,0)),"")</f>
        <v/>
      </c>
      <c r="C130" s="299" t="str">
        <f>IFERROR(INDEX('G-1 All Habitats'!$AG$3:$AG$17,MATCH(D130,'G-1 All Habitats'!$AF$3:$AF$17,0)),"")</f>
        <v/>
      </c>
      <c r="D130" s="54"/>
      <c r="E130" s="61"/>
      <c r="F130" s="296" t="str">
        <f>IFERROR(INDEX('G-1 All Habitats'!$B$3:$B$134,MATCH(E130,'G-1 All Habitats'!$A$3:$A$134,0)),"")</f>
        <v/>
      </c>
      <c r="G130" s="53"/>
      <c r="H130" s="362" t="str">
        <f>IF(F130="","",VLOOKUP(F130,'G-1 All Habitats'!$B$2:$M$134,10,FALSE))</f>
        <v/>
      </c>
      <c r="I130" s="363" t="str">
        <f>IFERROR(VLOOKUP(H130,'G-1 All Habitats'!$V$3:$W$7,2,FALSE),"")</f>
        <v/>
      </c>
      <c r="J130" s="54"/>
      <c r="K130" s="363" t="str">
        <f>IFERROR(INDEX('G-8 Condition Look up'!$A$3:$H$135,MATCH(F130,'G-8 Condition Look up'!$A$3:$A$135,0),MATCH(J130,'G-8 Condition Look up'!$A$3:$H$3,0)),"")</f>
        <v/>
      </c>
      <c r="L130" s="54"/>
      <c r="M130" s="370" t="str">
        <f>IF(L130="","",IF(VLOOKUP(L130,'G-3 Multipliers'!$L$3:$N$6,2,FALSE)=0,"Spatial Data Missing",VLOOKUP(L130,'G-3 Multipliers'!$L$3:$N$6,2,FALSE)))</f>
        <v/>
      </c>
      <c r="N130" s="368" t="str">
        <f>IF(L130="","",IF(VLOOKUP(L130,'G-3 Multipliers'!$L$3:$N$6,3,FALSE)=0,"Spatial Data Missing",VLOOKUP(L130,'G-3 Multipliers'!$L$3:$N$6,3,FALSE)))</f>
        <v/>
      </c>
      <c r="O130" s="362" t="str">
        <f t="shared" si="6"/>
        <v/>
      </c>
      <c r="P130" s="63"/>
      <c r="Q130" s="63"/>
      <c r="R130" s="370" t="str">
        <f t="shared" si="8"/>
        <v/>
      </c>
      <c r="S130" s="383" t="str">
        <f t="shared" si="9"/>
        <v/>
      </c>
      <c r="T130" s="384"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losses",P130&gt;=O130),"Low",VLOOKUP(F130,'G-3 Multipliers'!$A$2:$E$134,4,FALSE))))</f>
        <v/>
      </c>
      <c r="X130" s="386" t="str">
        <f>IFERROR(IF(E130="","",VLOOKUP(W130, 'G-3 Multipliers'!$P$2:$Q$6,2,FALSE)),"")</f>
        <v/>
      </c>
      <c r="Y130" s="390" t="str">
        <f t="shared" si="10"/>
        <v/>
      </c>
      <c r="Z130" s="194"/>
      <c r="AA130" s="195"/>
      <c r="AB130" s="120"/>
      <c r="AE130" s="40" t="str">
        <f t="shared" si="7"/>
        <v/>
      </c>
    </row>
    <row r="131" spans="1:31" x14ac:dyDescent="0.25">
      <c r="A131" s="35" t="str">
        <f>IFERROR(INDEX('G-8 Condition Look up'!$I$4:$I$135,MATCH(F131,'G-8 Condition Look up'!$A$4:$A$135,0)),"")</f>
        <v/>
      </c>
      <c r="C131" s="299" t="str">
        <f>IFERROR(INDEX('G-1 All Habitats'!$AG$3:$AG$17,MATCH(D131,'G-1 All Habitats'!$AF$3:$AF$17,0)),"")</f>
        <v/>
      </c>
      <c r="D131" s="54"/>
      <c r="E131" s="61"/>
      <c r="F131" s="296" t="str">
        <f>IFERROR(INDEX('G-1 All Habitats'!$B$3:$B$134,MATCH(E131,'G-1 All Habitats'!$A$3:$A$134,0)),"")</f>
        <v/>
      </c>
      <c r="G131" s="53"/>
      <c r="H131" s="362" t="str">
        <f>IF(F131="","",VLOOKUP(F131,'G-1 All Habitats'!$B$2:$M$134,10,FALSE))</f>
        <v/>
      </c>
      <c r="I131" s="363" t="str">
        <f>IFERROR(VLOOKUP(H131,'G-1 All Habitats'!$V$3:$W$7,2,FALSE),"")</f>
        <v/>
      </c>
      <c r="J131" s="54"/>
      <c r="K131" s="363" t="str">
        <f>IFERROR(INDEX('G-8 Condition Look up'!$A$3:$H$135,MATCH(F131,'G-8 Condition Look up'!$A$3:$A$135,0),MATCH(J131,'G-8 Condition Look up'!$A$3:$H$3,0)),"")</f>
        <v/>
      </c>
      <c r="L131" s="54"/>
      <c r="M131" s="370" t="str">
        <f>IF(L131="","",IF(VLOOKUP(L131,'G-3 Multipliers'!$L$3:$N$6,2,FALSE)=0,"Spatial Data Missing",VLOOKUP(L131,'G-3 Multipliers'!$L$3:$N$6,2,FALSE)))</f>
        <v/>
      </c>
      <c r="N131" s="368" t="str">
        <f>IF(L131="","",IF(VLOOKUP(L131,'G-3 Multipliers'!$L$3:$N$6,3,FALSE)=0,"Spatial Data Missing",VLOOKUP(L131,'G-3 Multipliers'!$L$3:$N$6,3,FALSE)))</f>
        <v/>
      </c>
      <c r="O131" s="362" t="str">
        <f t="shared" si="6"/>
        <v/>
      </c>
      <c r="P131" s="63"/>
      <c r="Q131" s="63"/>
      <c r="R131" s="370" t="str">
        <f t="shared" si="8"/>
        <v/>
      </c>
      <c r="S131" s="383" t="str">
        <f t="shared" si="9"/>
        <v/>
      </c>
      <c r="T131" s="384"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losses",P131&gt;=O131),"Low",VLOOKUP(F131,'G-3 Multipliers'!$A$2:$E$134,4,FALSE))))</f>
        <v/>
      </c>
      <c r="X131" s="386" t="str">
        <f>IFERROR(IF(E131="","",VLOOKUP(W131, 'G-3 Multipliers'!$P$2:$Q$6,2,FALSE)),"")</f>
        <v/>
      </c>
      <c r="Y131" s="390" t="str">
        <f t="shared" si="10"/>
        <v/>
      </c>
      <c r="Z131" s="194"/>
      <c r="AA131" s="195"/>
      <c r="AB131" s="120"/>
      <c r="AE131" s="40" t="str">
        <f t="shared" si="7"/>
        <v/>
      </c>
    </row>
    <row r="132" spans="1:31" x14ac:dyDescent="0.25">
      <c r="A132" s="35" t="str">
        <f>IFERROR(INDEX('G-8 Condition Look up'!$I$4:$I$135,MATCH(F132,'G-8 Condition Look up'!$A$4:$A$135,0)),"")</f>
        <v/>
      </c>
      <c r="C132" s="299" t="str">
        <f>IFERROR(INDEX('G-1 All Habitats'!$AG$3:$AG$17,MATCH(D132,'G-1 All Habitats'!$AF$3:$AF$17,0)),"")</f>
        <v/>
      </c>
      <c r="D132" s="54"/>
      <c r="E132" s="61"/>
      <c r="F132" s="296" t="str">
        <f>IFERROR(INDEX('G-1 All Habitats'!$B$3:$B$134,MATCH(E132,'G-1 All Habitats'!$A$3:$A$134,0)),"")</f>
        <v/>
      </c>
      <c r="G132" s="53"/>
      <c r="H132" s="362" t="str">
        <f>IF(F132="","",VLOOKUP(F132,'G-1 All Habitats'!$B$2:$M$134,10,FALSE))</f>
        <v/>
      </c>
      <c r="I132" s="363" t="str">
        <f>IFERROR(VLOOKUP(H132,'G-1 All Habitats'!$V$3:$W$7,2,FALSE),"")</f>
        <v/>
      </c>
      <c r="J132" s="54"/>
      <c r="K132" s="363" t="str">
        <f>IFERROR(INDEX('G-8 Condition Look up'!$A$3:$H$135,MATCH(F132,'G-8 Condition Look up'!$A$3:$A$135,0),MATCH(J132,'G-8 Condition Look up'!$A$3:$H$3,0)),"")</f>
        <v/>
      </c>
      <c r="L132" s="54"/>
      <c r="M132" s="370" t="str">
        <f>IF(L132="","",IF(VLOOKUP(L132,'G-3 Multipliers'!$L$3:$N$6,2,FALSE)=0,"Spatial Data Missing",VLOOKUP(L132,'G-3 Multipliers'!$L$3:$N$6,2,FALSE)))</f>
        <v/>
      </c>
      <c r="N132" s="368" t="str">
        <f>IF(L132="","",IF(VLOOKUP(L132,'G-3 Multipliers'!$L$3:$N$6,3,FALSE)=0,"Spatial Data Missing",VLOOKUP(L132,'G-3 Multipliers'!$L$3:$N$6,3,FALSE)))</f>
        <v/>
      </c>
      <c r="O132" s="362" t="str">
        <f t="shared" si="6"/>
        <v/>
      </c>
      <c r="P132" s="63"/>
      <c r="Q132" s="63"/>
      <c r="R132" s="370" t="str">
        <f t="shared" si="8"/>
        <v/>
      </c>
      <c r="S132" s="383" t="str">
        <f t="shared" si="9"/>
        <v/>
      </c>
      <c r="T132" s="384"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losses",P132&gt;=O132),"Low",VLOOKUP(F132,'G-3 Multipliers'!$A$2:$E$134,4,FALSE))))</f>
        <v/>
      </c>
      <c r="X132" s="386" t="str">
        <f>IFERROR(IF(E132="","",VLOOKUP(W132, 'G-3 Multipliers'!$P$2:$Q$6,2,FALSE)),"")</f>
        <v/>
      </c>
      <c r="Y132" s="390" t="str">
        <f t="shared" si="10"/>
        <v/>
      </c>
      <c r="Z132" s="194"/>
      <c r="AA132" s="195"/>
      <c r="AB132" s="120"/>
      <c r="AE132" s="40" t="str">
        <f t="shared" si="7"/>
        <v/>
      </c>
    </row>
    <row r="133" spans="1:31" x14ac:dyDescent="0.25">
      <c r="A133" s="35" t="str">
        <f>IFERROR(INDEX('G-8 Condition Look up'!$I$4:$I$135,MATCH(F133,'G-8 Condition Look up'!$A$4:$A$135,0)),"")</f>
        <v/>
      </c>
      <c r="C133" s="299" t="str">
        <f>IFERROR(INDEX('G-1 All Habitats'!$AG$3:$AG$17,MATCH(D133,'G-1 All Habitats'!$AF$3:$AF$17,0)),"")</f>
        <v/>
      </c>
      <c r="D133" s="54"/>
      <c r="E133" s="61"/>
      <c r="F133" s="296" t="str">
        <f>IFERROR(INDEX('G-1 All Habitats'!$B$3:$B$134,MATCH(E133,'G-1 All Habitats'!$A$3:$A$134,0)),"")</f>
        <v/>
      </c>
      <c r="G133" s="53"/>
      <c r="H133" s="362" t="str">
        <f>IF(F133="","",VLOOKUP(F133,'G-1 All Habitats'!$B$2:$M$134,10,FALSE))</f>
        <v/>
      </c>
      <c r="I133" s="363" t="str">
        <f>IFERROR(VLOOKUP(H133,'G-1 All Habitats'!$V$3:$W$7,2,FALSE),"")</f>
        <v/>
      </c>
      <c r="J133" s="54"/>
      <c r="K133" s="363" t="str">
        <f>IFERROR(INDEX('G-8 Condition Look up'!$A$3:$H$135,MATCH(F133,'G-8 Condition Look up'!$A$3:$A$135,0),MATCH(J133,'G-8 Condition Look up'!$A$3:$H$3,0)),"")</f>
        <v/>
      </c>
      <c r="L133" s="54"/>
      <c r="M133" s="370" t="str">
        <f>IF(L133="","",IF(VLOOKUP(L133,'G-3 Multipliers'!$L$3:$N$6,2,FALSE)=0,"Spatial Data Missing",VLOOKUP(L133,'G-3 Multipliers'!$L$3:$N$6,2,FALSE)))</f>
        <v/>
      </c>
      <c r="N133" s="368" t="str">
        <f>IF(L133="","",IF(VLOOKUP(L133,'G-3 Multipliers'!$L$3:$N$6,3,FALSE)=0,"Spatial Data Missing",VLOOKUP(L133,'G-3 Multipliers'!$L$3:$N$6,3,FALSE)))</f>
        <v/>
      </c>
      <c r="O133" s="362" t="str">
        <f t="shared" si="6"/>
        <v/>
      </c>
      <c r="P133" s="63"/>
      <c r="Q133" s="63"/>
      <c r="R133" s="370" t="str">
        <f t="shared" si="8"/>
        <v/>
      </c>
      <c r="S133" s="383" t="str">
        <f t="shared" si="9"/>
        <v/>
      </c>
      <c r="T133" s="384"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losses",P133&gt;=O133),"Low",VLOOKUP(F133,'G-3 Multipliers'!$A$2:$E$134,4,FALSE))))</f>
        <v/>
      </c>
      <c r="X133" s="386" t="str">
        <f>IFERROR(IF(E133="","",VLOOKUP(W133, 'G-3 Multipliers'!$P$2:$Q$6,2,FALSE)),"")</f>
        <v/>
      </c>
      <c r="Y133" s="390" t="str">
        <f t="shared" si="10"/>
        <v/>
      </c>
      <c r="Z133" s="194"/>
      <c r="AA133" s="195"/>
      <c r="AB133" s="120"/>
      <c r="AE133" s="40" t="str">
        <f t="shared" si="7"/>
        <v/>
      </c>
    </row>
    <row r="134" spans="1:31" x14ac:dyDescent="0.25">
      <c r="A134" s="35" t="str">
        <f>IFERROR(INDEX('G-8 Condition Look up'!$I$4:$I$135,MATCH(F134,'G-8 Condition Look up'!$A$4:$A$135,0)),"")</f>
        <v/>
      </c>
      <c r="C134" s="299" t="str">
        <f>IFERROR(INDEX('G-1 All Habitats'!$AG$3:$AG$17,MATCH(D134,'G-1 All Habitats'!$AF$3:$AF$17,0)),"")</f>
        <v/>
      </c>
      <c r="D134" s="54"/>
      <c r="E134" s="61"/>
      <c r="F134" s="296" t="str">
        <f>IFERROR(INDEX('G-1 All Habitats'!$B$3:$B$134,MATCH(E134,'G-1 All Habitats'!$A$3:$A$134,0)),"")</f>
        <v/>
      </c>
      <c r="G134" s="53"/>
      <c r="H134" s="362" t="str">
        <f>IF(F134="","",VLOOKUP(F134,'G-1 All Habitats'!$B$2:$M$134,10,FALSE))</f>
        <v/>
      </c>
      <c r="I134" s="363" t="str">
        <f>IFERROR(VLOOKUP(H134,'G-1 All Habitats'!$V$3:$W$7,2,FALSE),"")</f>
        <v/>
      </c>
      <c r="J134" s="54"/>
      <c r="K134" s="363" t="str">
        <f>IFERROR(INDEX('G-8 Condition Look up'!$A$3:$H$135,MATCH(F134,'G-8 Condition Look up'!$A$3:$A$135,0),MATCH(J134,'G-8 Condition Look up'!$A$3:$H$3,0)),"")</f>
        <v/>
      </c>
      <c r="L134" s="54"/>
      <c r="M134" s="370" t="str">
        <f>IF(L134="","",IF(VLOOKUP(L134,'G-3 Multipliers'!$L$3:$N$6,2,FALSE)=0,"Spatial Data Missing",VLOOKUP(L134,'G-3 Multipliers'!$L$3:$N$6,2,FALSE)))</f>
        <v/>
      </c>
      <c r="N134" s="368" t="str">
        <f>IF(L134="","",IF(VLOOKUP(L134,'G-3 Multipliers'!$L$3:$N$6,3,FALSE)=0,"Spatial Data Missing",VLOOKUP(L134,'G-3 Multipliers'!$L$3:$N$6,3,FALSE)))</f>
        <v/>
      </c>
      <c r="O134" s="362" t="str">
        <f t="shared" si="6"/>
        <v/>
      </c>
      <c r="P134" s="63"/>
      <c r="Q134" s="63"/>
      <c r="R134" s="370" t="str">
        <f t="shared" si="8"/>
        <v/>
      </c>
      <c r="S134" s="383" t="str">
        <f t="shared" si="9"/>
        <v/>
      </c>
      <c r="T134" s="384"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losses",P134&gt;=O134),"Low",VLOOKUP(F134,'G-3 Multipliers'!$A$2:$E$134,4,FALSE))))</f>
        <v/>
      </c>
      <c r="X134" s="386" t="str">
        <f>IFERROR(IF(E134="","",VLOOKUP(W134, 'G-3 Multipliers'!$P$2:$Q$6,2,FALSE)),"")</f>
        <v/>
      </c>
      <c r="Y134" s="390" t="str">
        <f t="shared" si="10"/>
        <v/>
      </c>
      <c r="Z134" s="194"/>
      <c r="AA134" s="195"/>
      <c r="AB134" s="120"/>
      <c r="AE134" s="40" t="str">
        <f t="shared" si="7"/>
        <v/>
      </c>
    </row>
    <row r="135" spans="1:31" x14ac:dyDescent="0.25">
      <c r="A135" s="35" t="str">
        <f>IFERROR(INDEX('G-8 Condition Look up'!$I$4:$I$135,MATCH(F135,'G-8 Condition Look up'!$A$4:$A$135,0)),"")</f>
        <v/>
      </c>
      <c r="C135" s="299" t="str">
        <f>IFERROR(INDEX('G-1 All Habitats'!$AG$3:$AG$17,MATCH(D135,'G-1 All Habitats'!$AF$3:$AF$17,0)),"")</f>
        <v/>
      </c>
      <c r="D135" s="54"/>
      <c r="E135" s="61"/>
      <c r="F135" s="296" t="str">
        <f>IFERROR(INDEX('G-1 All Habitats'!$B$3:$B$134,MATCH(E135,'G-1 All Habitats'!$A$3:$A$134,0)),"")</f>
        <v/>
      </c>
      <c r="G135" s="53"/>
      <c r="H135" s="362" t="str">
        <f>IF(F135="","",VLOOKUP(F135,'G-1 All Habitats'!$B$2:$M$134,10,FALSE))</f>
        <v/>
      </c>
      <c r="I135" s="363" t="str">
        <f>IFERROR(VLOOKUP(H135,'G-1 All Habitats'!$V$3:$W$7,2,FALSE),"")</f>
        <v/>
      </c>
      <c r="J135" s="54"/>
      <c r="K135" s="363" t="str">
        <f>IFERROR(INDEX('G-8 Condition Look up'!$A$3:$H$135,MATCH(F135,'G-8 Condition Look up'!$A$3:$A$135,0),MATCH(J135,'G-8 Condition Look up'!$A$3:$H$3,0)),"")</f>
        <v/>
      </c>
      <c r="L135" s="54"/>
      <c r="M135" s="370" t="str">
        <f>IF(L135="","",IF(VLOOKUP(L135,'G-3 Multipliers'!$L$3:$N$6,2,FALSE)=0,"Spatial Data Missing",VLOOKUP(L135,'G-3 Multipliers'!$L$3:$N$6,2,FALSE)))</f>
        <v/>
      </c>
      <c r="N135" s="368" t="str">
        <f>IF(L135="","",IF(VLOOKUP(L135,'G-3 Multipliers'!$L$3:$N$6,3,FALSE)=0,"Spatial Data Missing",VLOOKUP(L135,'G-3 Multipliers'!$L$3:$N$6,3,FALSE)))</f>
        <v/>
      </c>
      <c r="O135" s="362" t="str">
        <f t="shared" si="6"/>
        <v/>
      </c>
      <c r="P135" s="63"/>
      <c r="Q135" s="63"/>
      <c r="R135" s="370" t="str">
        <f t="shared" si="8"/>
        <v/>
      </c>
      <c r="S135" s="383" t="str">
        <f t="shared" si="9"/>
        <v/>
      </c>
      <c r="T135" s="384"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losses",P135&gt;=O135),"Low",VLOOKUP(F135,'G-3 Multipliers'!$A$2:$E$134,4,FALSE))))</f>
        <v/>
      </c>
      <c r="X135" s="386" t="str">
        <f>IFERROR(IF(E135="","",VLOOKUP(W135, 'G-3 Multipliers'!$P$2:$Q$6,2,FALSE)),"")</f>
        <v/>
      </c>
      <c r="Y135" s="390" t="str">
        <f t="shared" si="10"/>
        <v/>
      </c>
      <c r="Z135" s="194"/>
      <c r="AA135" s="195"/>
      <c r="AB135" s="120"/>
      <c r="AE135" s="40" t="str">
        <f t="shared" si="7"/>
        <v/>
      </c>
    </row>
    <row r="136" spans="1:31" x14ac:dyDescent="0.25">
      <c r="A136" s="35" t="str">
        <f>IFERROR(INDEX('G-8 Condition Look up'!$I$4:$I$135,MATCH(F136,'G-8 Condition Look up'!$A$4:$A$135,0)),"")</f>
        <v/>
      </c>
      <c r="C136" s="299" t="str">
        <f>IFERROR(INDEX('G-1 All Habitats'!$AG$3:$AG$17,MATCH(D136,'G-1 All Habitats'!$AF$3:$AF$17,0)),"")</f>
        <v/>
      </c>
      <c r="D136" s="54"/>
      <c r="E136" s="61"/>
      <c r="F136" s="296" t="str">
        <f>IFERROR(INDEX('G-1 All Habitats'!$B$3:$B$134,MATCH(E136,'G-1 All Habitats'!$A$3:$A$134,0)),"")</f>
        <v/>
      </c>
      <c r="G136" s="53"/>
      <c r="H136" s="362" t="str">
        <f>IF(F136="","",VLOOKUP(F136,'G-1 All Habitats'!$B$2:$M$134,10,FALSE))</f>
        <v/>
      </c>
      <c r="I136" s="363" t="str">
        <f>IFERROR(VLOOKUP(H136,'G-1 All Habitats'!$V$3:$W$7,2,FALSE),"")</f>
        <v/>
      </c>
      <c r="J136" s="54"/>
      <c r="K136" s="363" t="str">
        <f>IFERROR(INDEX('G-8 Condition Look up'!$A$3:$H$135,MATCH(F136,'G-8 Condition Look up'!$A$3:$A$135,0),MATCH(J136,'G-8 Condition Look up'!$A$3:$H$3,0)),"")</f>
        <v/>
      </c>
      <c r="L136" s="54"/>
      <c r="M136" s="370" t="str">
        <f>IF(L136="","",IF(VLOOKUP(L136,'G-3 Multipliers'!$L$3:$N$6,2,FALSE)=0,"Spatial Data Missing",VLOOKUP(L136,'G-3 Multipliers'!$L$3:$N$6,2,FALSE)))</f>
        <v/>
      </c>
      <c r="N136" s="368" t="str">
        <f>IF(L136="","",IF(VLOOKUP(L136,'G-3 Multipliers'!$L$3:$N$6,3,FALSE)=0,"Spatial Data Missing",VLOOKUP(L136,'G-3 Multipliers'!$L$3:$N$6,3,FALSE)))</f>
        <v/>
      </c>
      <c r="O136" s="362" t="str">
        <f t="shared" si="6"/>
        <v/>
      </c>
      <c r="P136" s="63"/>
      <c r="Q136" s="63"/>
      <c r="R136" s="370" t="str">
        <f t="shared" si="8"/>
        <v/>
      </c>
      <c r="S136" s="383" t="str">
        <f t="shared" si="9"/>
        <v/>
      </c>
      <c r="T136" s="384"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losses",P136&gt;=O136),"Low",VLOOKUP(F136,'G-3 Multipliers'!$A$2:$E$134,4,FALSE))))</f>
        <v/>
      </c>
      <c r="X136" s="386" t="str">
        <f>IFERROR(IF(E136="","",VLOOKUP(W136, 'G-3 Multipliers'!$P$2:$Q$6,2,FALSE)),"")</f>
        <v/>
      </c>
      <c r="Y136" s="390" t="str">
        <f t="shared" si="10"/>
        <v/>
      </c>
      <c r="Z136" s="194"/>
      <c r="AA136" s="195"/>
      <c r="AB136" s="120"/>
      <c r="AE136" s="40" t="str">
        <f t="shared" si="7"/>
        <v/>
      </c>
    </row>
    <row r="137" spans="1:31" x14ac:dyDescent="0.25">
      <c r="A137" s="35" t="str">
        <f>IFERROR(INDEX('G-8 Condition Look up'!$I$4:$I$135,MATCH(F137,'G-8 Condition Look up'!$A$4:$A$135,0)),"")</f>
        <v/>
      </c>
      <c r="C137" s="299" t="str">
        <f>IFERROR(INDEX('G-1 All Habitats'!$AG$3:$AG$17,MATCH(D137,'G-1 All Habitats'!$AF$3:$AF$17,0)),"")</f>
        <v/>
      </c>
      <c r="D137" s="54"/>
      <c r="E137" s="61"/>
      <c r="F137" s="296" t="str">
        <f>IFERROR(INDEX('G-1 All Habitats'!$B$3:$B$134,MATCH(E137,'G-1 All Habitats'!$A$3:$A$134,0)),"")</f>
        <v/>
      </c>
      <c r="G137" s="53"/>
      <c r="H137" s="362" t="str">
        <f>IF(F137="","",VLOOKUP(F137,'G-1 All Habitats'!$B$2:$M$134,10,FALSE))</f>
        <v/>
      </c>
      <c r="I137" s="363" t="str">
        <f>IFERROR(VLOOKUP(H137,'G-1 All Habitats'!$V$3:$W$7,2,FALSE),"")</f>
        <v/>
      </c>
      <c r="J137" s="54"/>
      <c r="K137" s="363" t="str">
        <f>IFERROR(INDEX('G-8 Condition Look up'!$A$3:$H$135,MATCH(F137,'G-8 Condition Look up'!$A$3:$A$135,0),MATCH(J137,'G-8 Condition Look up'!$A$3:$H$3,0)),"")</f>
        <v/>
      </c>
      <c r="L137" s="54"/>
      <c r="M137" s="370" t="str">
        <f>IF(L137="","",IF(VLOOKUP(L137,'G-3 Multipliers'!$L$3:$N$6,2,FALSE)=0,"Spatial Data Missing",VLOOKUP(L137,'G-3 Multipliers'!$L$3:$N$6,2,FALSE)))</f>
        <v/>
      </c>
      <c r="N137" s="368" t="str">
        <f>IF(L137="","",IF(VLOOKUP(L137,'G-3 Multipliers'!$L$3:$N$6,3,FALSE)=0,"Spatial Data Missing",VLOOKUP(L137,'G-3 Multipliers'!$L$3:$N$6,3,FALSE)))</f>
        <v/>
      </c>
      <c r="O137" s="362" t="str">
        <f t="shared" si="6"/>
        <v/>
      </c>
      <c r="P137" s="63"/>
      <c r="Q137" s="63"/>
      <c r="R137" s="370" t="str">
        <f t="shared" si="8"/>
        <v/>
      </c>
      <c r="S137" s="383" t="str">
        <f t="shared" si="9"/>
        <v/>
      </c>
      <c r="T137" s="384"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losses",P137&gt;=O137),"Low",VLOOKUP(F137,'G-3 Multipliers'!$A$2:$E$134,4,FALSE))))</f>
        <v/>
      </c>
      <c r="X137" s="386" t="str">
        <f>IFERROR(IF(E137="","",VLOOKUP(W137, 'G-3 Multipliers'!$P$2:$Q$6,2,FALSE)),"")</f>
        <v/>
      </c>
      <c r="Y137" s="390" t="str">
        <f t="shared" si="10"/>
        <v/>
      </c>
      <c r="Z137" s="194"/>
      <c r="AA137" s="195"/>
      <c r="AB137" s="120"/>
      <c r="AE137" s="40" t="str">
        <f t="shared" si="7"/>
        <v/>
      </c>
    </row>
    <row r="138" spans="1:31" x14ac:dyDescent="0.25">
      <c r="A138" s="35" t="str">
        <f>IFERROR(INDEX('G-8 Condition Look up'!$I$4:$I$135,MATCH(F138,'G-8 Condition Look up'!$A$4:$A$135,0)),"")</f>
        <v/>
      </c>
      <c r="C138" s="299" t="str">
        <f>IFERROR(INDEX('G-1 All Habitats'!$AG$3:$AG$17,MATCH(D138,'G-1 All Habitats'!$AF$3:$AF$17,0)),"")</f>
        <v/>
      </c>
      <c r="D138" s="54"/>
      <c r="E138" s="61"/>
      <c r="F138" s="296" t="str">
        <f>IFERROR(INDEX('G-1 All Habitats'!$B$3:$B$134,MATCH(E138,'G-1 All Habitats'!$A$3:$A$134,0)),"")</f>
        <v/>
      </c>
      <c r="G138" s="53"/>
      <c r="H138" s="362" t="str">
        <f>IF(F138="","",VLOOKUP(F138,'G-1 All Habitats'!$B$2:$M$134,10,FALSE))</f>
        <v/>
      </c>
      <c r="I138" s="363" t="str">
        <f>IFERROR(VLOOKUP(H138,'G-1 All Habitats'!$V$3:$W$7,2,FALSE),"")</f>
        <v/>
      </c>
      <c r="J138" s="54"/>
      <c r="K138" s="363" t="str">
        <f>IFERROR(INDEX('G-8 Condition Look up'!$A$3:$H$135,MATCH(F138,'G-8 Condition Look up'!$A$3:$A$135,0),MATCH(J138,'G-8 Condition Look up'!$A$3:$H$3,0)),"")</f>
        <v/>
      </c>
      <c r="L138" s="54"/>
      <c r="M138" s="370" t="str">
        <f>IF(L138="","",IF(VLOOKUP(L138,'G-3 Multipliers'!$L$3:$N$6,2,FALSE)=0,"Spatial Data Missing",VLOOKUP(L138,'G-3 Multipliers'!$L$3:$N$6,2,FALSE)))</f>
        <v/>
      </c>
      <c r="N138" s="368" t="str">
        <f>IF(L138="","",IF(VLOOKUP(L138,'G-3 Multipliers'!$L$3:$N$6,3,FALSE)=0,"Spatial Data Missing",VLOOKUP(L138,'G-3 Multipliers'!$L$3:$N$6,3,FALSE)))</f>
        <v/>
      </c>
      <c r="O138" s="362" t="str">
        <f t="shared" si="6"/>
        <v/>
      </c>
      <c r="P138" s="63"/>
      <c r="Q138" s="63"/>
      <c r="R138" s="370" t="str">
        <f t="shared" si="8"/>
        <v/>
      </c>
      <c r="S138" s="383" t="str">
        <f t="shared" si="9"/>
        <v/>
      </c>
      <c r="T138" s="384"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losses",P138&gt;=O138),"Low",VLOOKUP(F138,'G-3 Multipliers'!$A$2:$E$134,4,FALSE))))</f>
        <v/>
      </c>
      <c r="X138" s="386" t="str">
        <f>IFERROR(IF(E138="","",VLOOKUP(W138, 'G-3 Multipliers'!$P$2:$Q$6,2,FALSE)),"")</f>
        <v/>
      </c>
      <c r="Y138" s="390" t="str">
        <f t="shared" si="10"/>
        <v/>
      </c>
      <c r="Z138" s="194"/>
      <c r="AA138" s="195"/>
      <c r="AB138" s="120"/>
      <c r="AE138" s="40" t="str">
        <f t="shared" si="7"/>
        <v/>
      </c>
    </row>
    <row r="139" spans="1:31" x14ac:dyDescent="0.25">
      <c r="A139" s="35" t="str">
        <f>IFERROR(INDEX('G-8 Condition Look up'!$I$4:$I$135,MATCH(F139,'G-8 Condition Look up'!$A$4:$A$135,0)),"")</f>
        <v/>
      </c>
      <c r="C139" s="299" t="str">
        <f>IFERROR(INDEX('G-1 All Habitats'!$AG$3:$AG$17,MATCH(D139,'G-1 All Habitats'!$AF$3:$AF$17,0)),"")</f>
        <v/>
      </c>
      <c r="D139" s="54"/>
      <c r="E139" s="61"/>
      <c r="F139" s="296" t="str">
        <f>IFERROR(INDEX('G-1 All Habitats'!$B$3:$B$134,MATCH(E139,'G-1 All Habitats'!$A$3:$A$134,0)),"")</f>
        <v/>
      </c>
      <c r="G139" s="53"/>
      <c r="H139" s="362" t="str">
        <f>IF(F139="","",VLOOKUP(F139,'G-1 All Habitats'!$B$2:$M$134,10,FALSE))</f>
        <v/>
      </c>
      <c r="I139" s="363" t="str">
        <f>IFERROR(VLOOKUP(H139,'G-1 All Habitats'!$V$3:$W$7,2,FALSE),"")</f>
        <v/>
      </c>
      <c r="J139" s="54"/>
      <c r="K139" s="363" t="str">
        <f>IFERROR(INDEX('G-8 Condition Look up'!$A$3:$H$135,MATCH(F139,'G-8 Condition Look up'!$A$3:$A$135,0),MATCH(J139,'G-8 Condition Look up'!$A$3:$H$3,0)),"")</f>
        <v/>
      </c>
      <c r="L139" s="54"/>
      <c r="M139" s="370" t="str">
        <f>IF(L139="","",IF(VLOOKUP(L139,'G-3 Multipliers'!$L$3:$N$6,2,FALSE)=0,"Spatial Data Missing",VLOOKUP(L139,'G-3 Multipliers'!$L$3:$N$6,2,FALSE)))</f>
        <v/>
      </c>
      <c r="N139" s="368" t="str">
        <f>IF(L139="","",IF(VLOOKUP(L139,'G-3 Multipliers'!$L$3:$N$6,3,FALSE)=0,"Spatial Data Missing",VLOOKUP(L139,'G-3 Multipliers'!$L$3:$N$6,3,FALSE)))</f>
        <v/>
      </c>
      <c r="O139" s="362" t="str">
        <f t="shared" ref="O139:O202" si="12">IFERROR(INDEX(TemporalData,MATCH(F139,TemporalHabitats,0),MATCH(J139,TemporalConditions,0)),"")</f>
        <v/>
      </c>
      <c r="P139" s="63"/>
      <c r="Q139" s="63"/>
      <c r="R139" s="370" t="str">
        <f t="shared" si="8"/>
        <v/>
      </c>
      <c r="S139" s="383" t="str">
        <f t="shared" si="9"/>
        <v/>
      </c>
      <c r="T139" s="384"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losses",P139&gt;=O139),"Low",VLOOKUP(F139,'G-3 Multipliers'!$A$2:$E$134,4,FALSE))))</f>
        <v/>
      </c>
      <c r="X139" s="386" t="str">
        <f>IFERROR(IF(E139="","",VLOOKUP(W139, 'G-3 Multipliers'!$P$2:$Q$6,2,FALSE)),"")</f>
        <v/>
      </c>
      <c r="Y139" s="390" t="str">
        <f t="shared" si="10"/>
        <v/>
      </c>
      <c r="Z139" s="194"/>
      <c r="AA139" s="195"/>
      <c r="AB139" s="120"/>
      <c r="AE139" s="40" t="str">
        <f t="shared" ref="AE139:AE202" si="13">IFERROR(INDEX(TemporalData,MATCH(F139,TemporalHabitats,0),MATCH($AE$10,TemporalConditions,0)),"")</f>
        <v/>
      </c>
    </row>
    <row r="140" spans="1:31" x14ac:dyDescent="0.25">
      <c r="A140" s="35" t="str">
        <f>IFERROR(INDEX('G-8 Condition Look up'!$I$4:$I$135,MATCH(F140,'G-8 Condition Look up'!$A$4:$A$135,0)),"")</f>
        <v/>
      </c>
      <c r="C140" s="299" t="str">
        <f>IFERROR(INDEX('G-1 All Habitats'!$AG$3:$AG$17,MATCH(D140,'G-1 All Habitats'!$AF$3:$AF$17,0)),"")</f>
        <v/>
      </c>
      <c r="D140" s="54"/>
      <c r="E140" s="61"/>
      <c r="F140" s="296" t="str">
        <f>IFERROR(INDEX('G-1 All Habitats'!$B$3:$B$134,MATCH(E140,'G-1 All Habitats'!$A$3:$A$134,0)),"")</f>
        <v/>
      </c>
      <c r="G140" s="53"/>
      <c r="H140" s="362" t="str">
        <f>IF(F140="","",VLOOKUP(F140,'G-1 All Habitats'!$B$2:$M$134,10,FALSE))</f>
        <v/>
      </c>
      <c r="I140" s="363" t="str">
        <f>IFERROR(VLOOKUP(H140,'G-1 All Habitats'!$V$3:$W$7,2,FALSE),"")</f>
        <v/>
      </c>
      <c r="J140" s="54"/>
      <c r="K140" s="363" t="str">
        <f>IFERROR(INDEX('G-8 Condition Look up'!$A$3:$H$135,MATCH(F140,'G-8 Condition Look up'!$A$3:$A$135,0),MATCH(J140,'G-8 Condition Look up'!$A$3:$H$3,0)),"")</f>
        <v/>
      </c>
      <c r="L140" s="54"/>
      <c r="M140" s="370" t="str">
        <f>IF(L140="","",IF(VLOOKUP(L140,'G-3 Multipliers'!$L$3:$N$6,2,FALSE)=0,"Spatial Data Missing",VLOOKUP(L140,'G-3 Multipliers'!$L$3:$N$6,2,FALSE)))</f>
        <v/>
      </c>
      <c r="N140" s="368" t="str">
        <f>IF(L140="","",IF(VLOOKUP(L140,'G-3 Multipliers'!$L$3:$N$6,3,FALSE)=0,"Spatial Data Missing",VLOOKUP(L140,'G-3 Multipliers'!$L$3:$N$6,3,FALSE)))</f>
        <v/>
      </c>
      <c r="O140" s="362" t="str">
        <f t="shared" si="12"/>
        <v/>
      </c>
      <c r="P140" s="63"/>
      <c r="Q140" s="63"/>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383" t="str">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
      </c>
      <c r="T140" s="384"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losses",P140&gt;=O140),"Low",VLOOKUP(F140,'G-3 Multipliers'!$A$2:$E$134,4,FALSE))))</f>
        <v/>
      </c>
      <c r="X140" s="386" t="str">
        <f>IFERROR(IF(E140="","",VLOOKUP(W140, 'G-3 Multipliers'!$P$2:$Q$6,2,FALSE)),"")</f>
        <v/>
      </c>
      <c r="Y140" s="390" t="str">
        <f t="shared" ref="Y140:Y203" si="16">IFERROR(G140*I140*K140*N140*T140*X140,"")</f>
        <v/>
      </c>
      <c r="Z140" s="194"/>
      <c r="AA140" s="195"/>
      <c r="AB140" s="120"/>
      <c r="AE140" s="40" t="str">
        <f t="shared" si="13"/>
        <v/>
      </c>
    </row>
    <row r="141" spans="1:31" x14ac:dyDescent="0.25">
      <c r="A141" s="35" t="str">
        <f>IFERROR(INDEX('G-8 Condition Look up'!$I$4:$I$135,MATCH(F141,'G-8 Condition Look up'!$A$4:$A$135,0)),"")</f>
        <v/>
      </c>
      <c r="C141" s="299" t="str">
        <f>IFERROR(INDEX('G-1 All Habitats'!$AG$3:$AG$17,MATCH(D141,'G-1 All Habitats'!$AF$3:$AF$17,0)),"")</f>
        <v/>
      </c>
      <c r="D141" s="54"/>
      <c r="E141" s="61"/>
      <c r="F141" s="296" t="str">
        <f>IFERROR(INDEX('G-1 All Habitats'!$B$3:$B$134,MATCH(E141,'G-1 All Habitats'!$A$3:$A$134,0)),"")</f>
        <v/>
      </c>
      <c r="G141" s="53"/>
      <c r="H141" s="362" t="str">
        <f>IF(F141="","",VLOOKUP(F141,'G-1 All Habitats'!$B$2:$M$134,10,FALSE))</f>
        <v/>
      </c>
      <c r="I141" s="363" t="str">
        <f>IFERROR(VLOOKUP(H141,'G-1 All Habitats'!$V$3:$W$7,2,FALSE),"")</f>
        <v/>
      </c>
      <c r="J141" s="54"/>
      <c r="K141" s="363" t="str">
        <f>IFERROR(INDEX('G-8 Condition Look up'!$A$3:$H$135,MATCH(F141,'G-8 Condition Look up'!$A$3:$A$135,0),MATCH(J141,'G-8 Condition Look up'!$A$3:$H$3,0)),"")</f>
        <v/>
      </c>
      <c r="L141" s="54"/>
      <c r="M141" s="370" t="str">
        <f>IF(L141="","",IF(VLOOKUP(L141,'G-3 Multipliers'!$L$3:$N$6,2,FALSE)=0,"Spatial Data Missing",VLOOKUP(L141,'G-3 Multipliers'!$L$3:$N$6,2,FALSE)))</f>
        <v/>
      </c>
      <c r="N141" s="368" t="str">
        <f>IF(L141="","",IF(VLOOKUP(L141,'G-3 Multipliers'!$L$3:$N$6,3,FALSE)=0,"Spatial Data Missing",VLOOKUP(L141,'G-3 Multipliers'!$L$3:$N$6,3,FALSE)))</f>
        <v/>
      </c>
      <c r="O141" s="362" t="str">
        <f t="shared" si="12"/>
        <v/>
      </c>
      <c r="P141" s="63"/>
      <c r="Q141" s="63"/>
      <c r="R141" s="370" t="str">
        <f t="shared" si="14"/>
        <v/>
      </c>
      <c r="S141" s="383" t="str">
        <f t="shared" si="15"/>
        <v/>
      </c>
      <c r="T141" s="384"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
      </c>
      <c r="W141" s="382" t="str">
        <f>IF(E141="","",IF(AND(V141="Standard difficulty applied",O141&gt;P141),U141,IF(AND(V141="Low Difficulty - only applicable if all habitat created before losses",P141&gt;=O141),"Low",VLOOKUP(F141,'G-3 Multipliers'!$A$2:$E$134,4,FALSE))))</f>
        <v/>
      </c>
      <c r="X141" s="386" t="str">
        <f>IFERROR(IF(E141="","",VLOOKUP(W141, 'G-3 Multipliers'!$P$2:$Q$6,2,FALSE)),"")</f>
        <v/>
      </c>
      <c r="Y141" s="390" t="str">
        <f t="shared" si="16"/>
        <v/>
      </c>
      <c r="Z141" s="194"/>
      <c r="AA141" s="195"/>
      <c r="AB141" s="120"/>
      <c r="AE141" s="40" t="str">
        <f t="shared" si="13"/>
        <v/>
      </c>
    </row>
    <row r="142" spans="1:31" x14ac:dyDescent="0.25">
      <c r="A142" s="35" t="str">
        <f>IFERROR(INDEX('G-8 Condition Look up'!$I$4:$I$135,MATCH(F142,'G-8 Condition Look up'!$A$4:$A$135,0)),"")</f>
        <v/>
      </c>
      <c r="C142" s="299" t="str">
        <f>IFERROR(INDEX('G-1 All Habitats'!$AG$3:$AG$17,MATCH(D142,'G-1 All Habitats'!$AF$3:$AF$17,0)),"")</f>
        <v/>
      </c>
      <c r="D142" s="54"/>
      <c r="E142" s="61"/>
      <c r="F142" s="296" t="str">
        <f>IFERROR(INDEX('G-1 All Habitats'!$B$3:$B$134,MATCH(E142,'G-1 All Habitats'!$A$3:$A$134,0)),"")</f>
        <v/>
      </c>
      <c r="G142" s="53"/>
      <c r="H142" s="362" t="str">
        <f>IF(F142="","",VLOOKUP(F142,'G-1 All Habitats'!$B$2:$M$134,10,FALSE))</f>
        <v/>
      </c>
      <c r="I142" s="363" t="str">
        <f>IFERROR(VLOOKUP(H142,'G-1 All Habitats'!$V$3:$W$7,2,FALSE),"")</f>
        <v/>
      </c>
      <c r="J142" s="54"/>
      <c r="K142" s="363" t="str">
        <f>IFERROR(INDEX('G-8 Condition Look up'!$A$3:$H$135,MATCH(F142,'G-8 Condition Look up'!$A$3:$A$135,0),MATCH(J142,'G-8 Condition Look up'!$A$3:$H$3,0)),"")</f>
        <v/>
      </c>
      <c r="L142" s="54"/>
      <c r="M142" s="370" t="str">
        <f>IF(L142="","",IF(VLOOKUP(L142,'G-3 Multipliers'!$L$3:$N$6,2,FALSE)=0,"Spatial Data Missing",VLOOKUP(L142,'G-3 Multipliers'!$L$3:$N$6,2,FALSE)))</f>
        <v/>
      </c>
      <c r="N142" s="368" t="str">
        <f>IF(L142="","",IF(VLOOKUP(L142,'G-3 Multipliers'!$L$3:$N$6,3,FALSE)=0,"Spatial Data Missing",VLOOKUP(L142,'G-3 Multipliers'!$L$3:$N$6,3,FALSE)))</f>
        <v/>
      </c>
      <c r="O142" s="362" t="str">
        <f t="shared" si="12"/>
        <v/>
      </c>
      <c r="P142" s="63"/>
      <c r="Q142" s="63"/>
      <c r="R142" s="370" t="str">
        <f t="shared" si="14"/>
        <v/>
      </c>
      <c r="S142" s="383" t="str">
        <f t="shared" si="15"/>
        <v/>
      </c>
      <c r="T142" s="384"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losses",P142&gt;=O142),"Low",VLOOKUP(F142,'G-3 Multipliers'!$A$2:$E$134,4,FALSE))))</f>
        <v/>
      </c>
      <c r="X142" s="386" t="str">
        <f>IFERROR(IF(E142="","",VLOOKUP(W142, 'G-3 Multipliers'!$P$2:$Q$6,2,FALSE)),"")</f>
        <v/>
      </c>
      <c r="Y142" s="390" t="str">
        <f t="shared" si="16"/>
        <v/>
      </c>
      <c r="Z142" s="194"/>
      <c r="AA142" s="195"/>
      <c r="AB142" s="120"/>
      <c r="AE142" s="40" t="str">
        <f t="shared" si="13"/>
        <v/>
      </c>
    </row>
    <row r="143" spans="1:31" x14ac:dyDescent="0.25">
      <c r="A143" s="35" t="str">
        <f>IFERROR(INDEX('G-8 Condition Look up'!$I$4:$I$135,MATCH(F143,'G-8 Condition Look up'!$A$4:$A$135,0)),"")</f>
        <v/>
      </c>
      <c r="C143" s="299" t="str">
        <f>IFERROR(INDEX('G-1 All Habitats'!$AG$3:$AG$17,MATCH(D143,'G-1 All Habitats'!$AF$3:$AF$17,0)),"")</f>
        <v/>
      </c>
      <c r="D143" s="54"/>
      <c r="E143" s="61"/>
      <c r="F143" s="296" t="str">
        <f>IFERROR(INDEX('G-1 All Habitats'!$B$3:$B$134,MATCH(E143,'G-1 All Habitats'!$A$3:$A$134,0)),"")</f>
        <v/>
      </c>
      <c r="G143" s="53"/>
      <c r="H143" s="362" t="str">
        <f>IF(F143="","",VLOOKUP(F143,'G-1 All Habitats'!$B$2:$M$134,10,FALSE))</f>
        <v/>
      </c>
      <c r="I143" s="363" t="str">
        <f>IFERROR(VLOOKUP(H143,'G-1 All Habitats'!$V$3:$W$7,2,FALSE),"")</f>
        <v/>
      </c>
      <c r="J143" s="54"/>
      <c r="K143" s="363" t="str">
        <f>IFERROR(INDEX('G-8 Condition Look up'!$A$3:$H$135,MATCH(F143,'G-8 Condition Look up'!$A$3:$A$135,0),MATCH(J143,'G-8 Condition Look up'!$A$3:$H$3,0)),"")</f>
        <v/>
      </c>
      <c r="L143" s="54"/>
      <c r="M143" s="370" t="str">
        <f>IF(L143="","",IF(VLOOKUP(L143,'G-3 Multipliers'!$L$3:$N$6,2,FALSE)=0,"Spatial Data Missing",VLOOKUP(L143,'G-3 Multipliers'!$L$3:$N$6,2,FALSE)))</f>
        <v/>
      </c>
      <c r="N143" s="368" t="str">
        <f>IF(L143="","",IF(VLOOKUP(L143,'G-3 Multipliers'!$L$3:$N$6,3,FALSE)=0,"Spatial Data Missing",VLOOKUP(L143,'G-3 Multipliers'!$L$3:$N$6,3,FALSE)))</f>
        <v/>
      </c>
      <c r="O143" s="362" t="str">
        <f t="shared" si="12"/>
        <v/>
      </c>
      <c r="P143" s="63"/>
      <c r="Q143" s="63"/>
      <c r="R143" s="370" t="str">
        <f t="shared" si="14"/>
        <v/>
      </c>
      <c r="S143" s="383" t="str">
        <f t="shared" si="15"/>
        <v/>
      </c>
      <c r="T143" s="384"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losses",P143&gt;=O143),"Low",VLOOKUP(F143,'G-3 Multipliers'!$A$2:$E$134,4,FALSE))))</f>
        <v/>
      </c>
      <c r="X143" s="386" t="str">
        <f>IFERROR(IF(E143="","",VLOOKUP(W143, 'G-3 Multipliers'!$P$2:$Q$6,2,FALSE)),"")</f>
        <v/>
      </c>
      <c r="Y143" s="390" t="str">
        <f t="shared" si="16"/>
        <v/>
      </c>
      <c r="Z143" s="194"/>
      <c r="AA143" s="195"/>
      <c r="AB143" s="120"/>
      <c r="AE143" s="40" t="str">
        <f t="shared" si="13"/>
        <v/>
      </c>
    </row>
    <row r="144" spans="1:31" x14ac:dyDescent="0.25">
      <c r="A144" s="35" t="str">
        <f>IFERROR(INDEX('G-8 Condition Look up'!$I$4:$I$135,MATCH(F144,'G-8 Condition Look up'!$A$4:$A$135,0)),"")</f>
        <v/>
      </c>
      <c r="C144" s="299" t="str">
        <f>IFERROR(INDEX('G-1 All Habitats'!$AG$3:$AG$17,MATCH(D144,'G-1 All Habitats'!$AF$3:$AF$17,0)),"")</f>
        <v/>
      </c>
      <c r="D144" s="54"/>
      <c r="E144" s="61"/>
      <c r="F144" s="296" t="str">
        <f>IFERROR(INDEX('G-1 All Habitats'!$B$3:$B$134,MATCH(E144,'G-1 All Habitats'!$A$3:$A$134,0)),"")</f>
        <v/>
      </c>
      <c r="G144" s="53"/>
      <c r="H144" s="362" t="str">
        <f>IF(F144="","",VLOOKUP(F144,'G-1 All Habitats'!$B$2:$M$134,10,FALSE))</f>
        <v/>
      </c>
      <c r="I144" s="363" t="str">
        <f>IFERROR(VLOOKUP(H144,'G-1 All Habitats'!$V$3:$W$7,2,FALSE),"")</f>
        <v/>
      </c>
      <c r="J144" s="54"/>
      <c r="K144" s="363" t="str">
        <f>IFERROR(INDEX('G-8 Condition Look up'!$A$3:$H$135,MATCH(F144,'G-8 Condition Look up'!$A$3:$A$135,0),MATCH(J144,'G-8 Condition Look up'!$A$3:$H$3,0)),"")</f>
        <v/>
      </c>
      <c r="L144" s="54"/>
      <c r="M144" s="370" t="str">
        <f>IF(L144="","",IF(VLOOKUP(L144,'G-3 Multipliers'!$L$3:$N$6,2,FALSE)=0,"Spatial Data Missing",VLOOKUP(L144,'G-3 Multipliers'!$L$3:$N$6,2,FALSE)))</f>
        <v/>
      </c>
      <c r="N144" s="368" t="str">
        <f>IF(L144="","",IF(VLOOKUP(L144,'G-3 Multipliers'!$L$3:$N$6,3,FALSE)=0,"Spatial Data Missing",VLOOKUP(L144,'G-3 Multipliers'!$L$3:$N$6,3,FALSE)))</f>
        <v/>
      </c>
      <c r="O144" s="362" t="str">
        <f t="shared" si="12"/>
        <v/>
      </c>
      <c r="P144" s="63"/>
      <c r="Q144" s="63"/>
      <c r="R144" s="370" t="str">
        <f t="shared" si="14"/>
        <v/>
      </c>
      <c r="S144" s="383" t="str">
        <f t="shared" si="15"/>
        <v/>
      </c>
      <c r="T144" s="384"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losses",P144&gt;=O144),"Low",VLOOKUP(F144,'G-3 Multipliers'!$A$2:$E$134,4,FALSE))))</f>
        <v/>
      </c>
      <c r="X144" s="386" t="str">
        <f>IFERROR(IF(E144="","",VLOOKUP(W144, 'G-3 Multipliers'!$P$2:$Q$6,2,FALSE)),"")</f>
        <v/>
      </c>
      <c r="Y144" s="390" t="str">
        <f t="shared" si="16"/>
        <v/>
      </c>
      <c r="Z144" s="194"/>
      <c r="AA144" s="195"/>
      <c r="AB144" s="120"/>
      <c r="AE144" s="40" t="str">
        <f t="shared" si="13"/>
        <v/>
      </c>
    </row>
    <row r="145" spans="1:31" x14ac:dyDescent="0.25">
      <c r="A145" s="35" t="str">
        <f>IFERROR(INDEX('G-8 Condition Look up'!$I$4:$I$135,MATCH(F145,'G-8 Condition Look up'!$A$4:$A$135,0)),"")</f>
        <v/>
      </c>
      <c r="C145" s="299" t="str">
        <f>IFERROR(INDEX('G-1 All Habitats'!$AG$3:$AG$17,MATCH(D145,'G-1 All Habitats'!$AF$3:$AF$17,0)),"")</f>
        <v/>
      </c>
      <c r="D145" s="54"/>
      <c r="E145" s="61"/>
      <c r="F145" s="296" t="str">
        <f>IFERROR(INDEX('G-1 All Habitats'!$B$3:$B$134,MATCH(E145,'G-1 All Habitats'!$A$3:$A$134,0)),"")</f>
        <v/>
      </c>
      <c r="G145" s="53"/>
      <c r="H145" s="362" t="str">
        <f>IF(F145="","",VLOOKUP(F145,'G-1 All Habitats'!$B$2:$M$134,10,FALSE))</f>
        <v/>
      </c>
      <c r="I145" s="363" t="str">
        <f>IFERROR(VLOOKUP(H145,'G-1 All Habitats'!$V$3:$W$7,2,FALSE),"")</f>
        <v/>
      </c>
      <c r="J145" s="54"/>
      <c r="K145" s="363" t="str">
        <f>IFERROR(INDEX('G-8 Condition Look up'!$A$3:$H$135,MATCH(F145,'G-8 Condition Look up'!$A$3:$A$135,0),MATCH(J145,'G-8 Condition Look up'!$A$3:$H$3,0)),"")</f>
        <v/>
      </c>
      <c r="L145" s="54"/>
      <c r="M145" s="370" t="str">
        <f>IF(L145="","",IF(VLOOKUP(L145,'G-3 Multipliers'!$L$3:$N$6,2,FALSE)=0,"Spatial Data Missing",VLOOKUP(L145,'G-3 Multipliers'!$L$3:$N$6,2,FALSE)))</f>
        <v/>
      </c>
      <c r="N145" s="368" t="str">
        <f>IF(L145="","",IF(VLOOKUP(L145,'G-3 Multipliers'!$L$3:$N$6,3,FALSE)=0,"Spatial Data Missing",VLOOKUP(L145,'G-3 Multipliers'!$L$3:$N$6,3,FALSE)))</f>
        <v/>
      </c>
      <c r="O145" s="362" t="str">
        <f t="shared" si="12"/>
        <v/>
      </c>
      <c r="P145" s="63"/>
      <c r="Q145" s="63"/>
      <c r="R145" s="370" t="str">
        <f t="shared" si="14"/>
        <v/>
      </c>
      <c r="S145" s="383" t="str">
        <f t="shared" si="15"/>
        <v/>
      </c>
      <c r="T145" s="384"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losses",P145&gt;=O145),"Low",VLOOKUP(F145,'G-3 Multipliers'!$A$2:$E$134,4,FALSE))))</f>
        <v/>
      </c>
      <c r="X145" s="386" t="str">
        <f>IFERROR(IF(E145="","",VLOOKUP(W145, 'G-3 Multipliers'!$P$2:$Q$6,2,FALSE)),"")</f>
        <v/>
      </c>
      <c r="Y145" s="390" t="str">
        <f t="shared" si="16"/>
        <v/>
      </c>
      <c r="Z145" s="194"/>
      <c r="AA145" s="195"/>
      <c r="AB145" s="120"/>
      <c r="AE145" s="40" t="str">
        <f t="shared" si="13"/>
        <v/>
      </c>
    </row>
    <row r="146" spans="1:31" x14ac:dyDescent="0.25">
      <c r="A146" s="35" t="str">
        <f>IFERROR(INDEX('G-8 Condition Look up'!$I$4:$I$135,MATCH(F146,'G-8 Condition Look up'!$A$4:$A$135,0)),"")</f>
        <v/>
      </c>
      <c r="C146" s="299" t="str">
        <f>IFERROR(INDEX('G-1 All Habitats'!$AG$3:$AG$17,MATCH(D146,'G-1 All Habitats'!$AF$3:$AF$17,0)),"")</f>
        <v/>
      </c>
      <c r="D146" s="54"/>
      <c r="E146" s="61"/>
      <c r="F146" s="296" t="str">
        <f>IFERROR(INDEX('G-1 All Habitats'!$B$3:$B$134,MATCH(E146,'G-1 All Habitats'!$A$3:$A$134,0)),"")</f>
        <v/>
      </c>
      <c r="G146" s="53"/>
      <c r="H146" s="362" t="str">
        <f>IF(F146="","",VLOOKUP(F146,'G-1 All Habitats'!$B$2:$M$134,10,FALSE))</f>
        <v/>
      </c>
      <c r="I146" s="363" t="str">
        <f>IFERROR(VLOOKUP(H146,'G-1 All Habitats'!$V$3:$W$7,2,FALSE),"")</f>
        <v/>
      </c>
      <c r="J146" s="54"/>
      <c r="K146" s="363" t="str">
        <f>IFERROR(INDEX('G-8 Condition Look up'!$A$3:$H$135,MATCH(F146,'G-8 Condition Look up'!$A$3:$A$135,0),MATCH(J146,'G-8 Condition Look up'!$A$3:$H$3,0)),"")</f>
        <v/>
      </c>
      <c r="L146" s="54"/>
      <c r="M146" s="370" t="str">
        <f>IF(L146="","",IF(VLOOKUP(L146,'G-3 Multipliers'!$L$3:$N$6,2,FALSE)=0,"Spatial Data Missing",VLOOKUP(L146,'G-3 Multipliers'!$L$3:$N$6,2,FALSE)))</f>
        <v/>
      </c>
      <c r="N146" s="368" t="str">
        <f>IF(L146="","",IF(VLOOKUP(L146,'G-3 Multipliers'!$L$3:$N$6,3,FALSE)=0,"Spatial Data Missing",VLOOKUP(L146,'G-3 Multipliers'!$L$3:$N$6,3,FALSE)))</f>
        <v/>
      </c>
      <c r="O146" s="362" t="str">
        <f t="shared" si="12"/>
        <v/>
      </c>
      <c r="P146" s="63"/>
      <c r="Q146" s="63"/>
      <c r="R146" s="370" t="str">
        <f t="shared" si="14"/>
        <v/>
      </c>
      <c r="S146" s="383" t="str">
        <f t="shared" si="15"/>
        <v/>
      </c>
      <c r="T146" s="384"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losses",P146&gt;=O146),"Low",VLOOKUP(F146,'G-3 Multipliers'!$A$2:$E$134,4,FALSE))))</f>
        <v/>
      </c>
      <c r="X146" s="386" t="str">
        <f>IFERROR(IF(E146="","",VLOOKUP(W146, 'G-3 Multipliers'!$P$2:$Q$6,2,FALSE)),"")</f>
        <v/>
      </c>
      <c r="Y146" s="390" t="str">
        <f t="shared" si="16"/>
        <v/>
      </c>
      <c r="Z146" s="194"/>
      <c r="AA146" s="195"/>
      <c r="AB146" s="120"/>
      <c r="AE146" s="40" t="str">
        <f t="shared" si="13"/>
        <v/>
      </c>
    </row>
    <row r="147" spans="1:31" x14ac:dyDescent="0.25">
      <c r="A147" s="35" t="str">
        <f>IFERROR(INDEX('G-8 Condition Look up'!$I$4:$I$135,MATCH(F147,'G-8 Condition Look up'!$A$4:$A$135,0)),"")</f>
        <v/>
      </c>
      <c r="C147" s="299" t="str">
        <f>IFERROR(INDEX('G-1 All Habitats'!$AG$3:$AG$17,MATCH(D147,'G-1 All Habitats'!$AF$3:$AF$17,0)),"")</f>
        <v/>
      </c>
      <c r="D147" s="54"/>
      <c r="E147" s="61"/>
      <c r="F147" s="296" t="str">
        <f>IFERROR(INDEX('G-1 All Habitats'!$B$3:$B$134,MATCH(E147,'G-1 All Habitats'!$A$3:$A$134,0)),"")</f>
        <v/>
      </c>
      <c r="G147" s="53"/>
      <c r="H147" s="362" t="str">
        <f>IF(F147="","",VLOOKUP(F147,'G-1 All Habitats'!$B$2:$M$134,10,FALSE))</f>
        <v/>
      </c>
      <c r="I147" s="363" t="str">
        <f>IFERROR(VLOOKUP(H147,'G-1 All Habitats'!$V$3:$W$7,2,FALSE),"")</f>
        <v/>
      </c>
      <c r="J147" s="54"/>
      <c r="K147" s="363" t="str">
        <f>IFERROR(INDEX('G-8 Condition Look up'!$A$3:$H$135,MATCH(F147,'G-8 Condition Look up'!$A$3:$A$135,0),MATCH(J147,'G-8 Condition Look up'!$A$3:$H$3,0)),"")</f>
        <v/>
      </c>
      <c r="L147" s="54"/>
      <c r="M147" s="370" t="str">
        <f>IF(L147="","",IF(VLOOKUP(L147,'G-3 Multipliers'!$L$3:$N$6,2,FALSE)=0,"Spatial Data Missing",VLOOKUP(L147,'G-3 Multipliers'!$L$3:$N$6,2,FALSE)))</f>
        <v/>
      </c>
      <c r="N147" s="368" t="str">
        <f>IF(L147="","",IF(VLOOKUP(L147,'G-3 Multipliers'!$L$3:$N$6,3,FALSE)=0,"Spatial Data Missing",VLOOKUP(L147,'G-3 Multipliers'!$L$3:$N$6,3,FALSE)))</f>
        <v/>
      </c>
      <c r="O147" s="362" t="str">
        <f t="shared" si="12"/>
        <v/>
      </c>
      <c r="P147" s="63"/>
      <c r="Q147" s="63"/>
      <c r="R147" s="370" t="str">
        <f t="shared" si="14"/>
        <v/>
      </c>
      <c r="S147" s="383" t="str">
        <f t="shared" si="15"/>
        <v/>
      </c>
      <c r="T147" s="384"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losses",P147&gt;=O147),"Low",VLOOKUP(F147,'G-3 Multipliers'!$A$2:$E$134,4,FALSE))))</f>
        <v/>
      </c>
      <c r="X147" s="386" t="str">
        <f>IFERROR(IF(E147="","",VLOOKUP(W147, 'G-3 Multipliers'!$P$2:$Q$6,2,FALSE)),"")</f>
        <v/>
      </c>
      <c r="Y147" s="390" t="str">
        <f t="shared" si="16"/>
        <v/>
      </c>
      <c r="Z147" s="194"/>
      <c r="AA147" s="195"/>
      <c r="AB147" s="120"/>
      <c r="AE147" s="40" t="str">
        <f t="shared" si="13"/>
        <v/>
      </c>
    </row>
    <row r="148" spans="1:31" x14ac:dyDescent="0.25">
      <c r="A148" s="35" t="str">
        <f>IFERROR(INDEX('G-8 Condition Look up'!$I$4:$I$135,MATCH(F148,'G-8 Condition Look up'!$A$4:$A$135,0)),"")</f>
        <v/>
      </c>
      <c r="C148" s="299" t="str">
        <f>IFERROR(INDEX('G-1 All Habitats'!$AG$3:$AG$17,MATCH(D148,'G-1 All Habitats'!$AF$3:$AF$17,0)),"")</f>
        <v/>
      </c>
      <c r="D148" s="54"/>
      <c r="E148" s="61"/>
      <c r="F148" s="296" t="str">
        <f>IFERROR(INDEX('G-1 All Habitats'!$B$3:$B$134,MATCH(E148,'G-1 All Habitats'!$A$3:$A$134,0)),"")</f>
        <v/>
      </c>
      <c r="G148" s="53"/>
      <c r="H148" s="362" t="str">
        <f>IF(F148="","",VLOOKUP(F148,'G-1 All Habitats'!$B$2:$M$134,10,FALSE))</f>
        <v/>
      </c>
      <c r="I148" s="363" t="str">
        <f>IFERROR(VLOOKUP(H148,'G-1 All Habitats'!$V$3:$W$7,2,FALSE),"")</f>
        <v/>
      </c>
      <c r="J148" s="54"/>
      <c r="K148" s="363" t="str">
        <f>IFERROR(INDEX('G-8 Condition Look up'!$A$3:$H$135,MATCH(F148,'G-8 Condition Look up'!$A$3:$A$135,0),MATCH(J148,'G-8 Condition Look up'!$A$3:$H$3,0)),"")</f>
        <v/>
      </c>
      <c r="L148" s="54"/>
      <c r="M148" s="370" t="str">
        <f>IF(L148="","",IF(VLOOKUP(L148,'G-3 Multipliers'!$L$3:$N$6,2,FALSE)=0,"Spatial Data Missing",VLOOKUP(L148,'G-3 Multipliers'!$L$3:$N$6,2,FALSE)))</f>
        <v/>
      </c>
      <c r="N148" s="368" t="str">
        <f>IF(L148="","",IF(VLOOKUP(L148,'G-3 Multipliers'!$L$3:$N$6,3,FALSE)=0,"Spatial Data Missing",VLOOKUP(L148,'G-3 Multipliers'!$L$3:$N$6,3,FALSE)))</f>
        <v/>
      </c>
      <c r="O148" s="362" t="str">
        <f t="shared" si="12"/>
        <v/>
      </c>
      <c r="P148" s="63"/>
      <c r="Q148" s="63"/>
      <c r="R148" s="370" t="str">
        <f t="shared" si="14"/>
        <v/>
      </c>
      <c r="S148" s="383" t="str">
        <f t="shared" si="15"/>
        <v/>
      </c>
      <c r="T148" s="384"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losses",P148&gt;=O148),"Low",VLOOKUP(F148,'G-3 Multipliers'!$A$2:$E$134,4,FALSE))))</f>
        <v/>
      </c>
      <c r="X148" s="386" t="str">
        <f>IFERROR(IF(E148="","",VLOOKUP(W148, 'G-3 Multipliers'!$P$2:$Q$6,2,FALSE)),"")</f>
        <v/>
      </c>
      <c r="Y148" s="390" t="str">
        <f t="shared" si="16"/>
        <v/>
      </c>
      <c r="Z148" s="194"/>
      <c r="AA148" s="195"/>
      <c r="AB148" s="120"/>
      <c r="AE148" s="40" t="str">
        <f t="shared" si="13"/>
        <v/>
      </c>
    </row>
    <row r="149" spans="1:31" x14ac:dyDescent="0.25">
      <c r="A149" s="35" t="str">
        <f>IFERROR(INDEX('G-8 Condition Look up'!$I$4:$I$135,MATCH(F149,'G-8 Condition Look up'!$A$4:$A$135,0)),"")</f>
        <v/>
      </c>
      <c r="C149" s="299" t="str">
        <f>IFERROR(INDEX('G-1 All Habitats'!$AG$3:$AG$17,MATCH(D149,'G-1 All Habitats'!$AF$3:$AF$17,0)),"")</f>
        <v/>
      </c>
      <c r="D149" s="54"/>
      <c r="E149" s="61"/>
      <c r="F149" s="296" t="str">
        <f>IFERROR(INDEX('G-1 All Habitats'!$B$3:$B$134,MATCH(E149,'G-1 All Habitats'!$A$3:$A$134,0)),"")</f>
        <v/>
      </c>
      <c r="G149" s="53"/>
      <c r="H149" s="362" t="str">
        <f>IF(F149="","",VLOOKUP(F149,'G-1 All Habitats'!$B$2:$M$134,10,FALSE))</f>
        <v/>
      </c>
      <c r="I149" s="363" t="str">
        <f>IFERROR(VLOOKUP(H149,'G-1 All Habitats'!$V$3:$W$7,2,FALSE),"")</f>
        <v/>
      </c>
      <c r="J149" s="54"/>
      <c r="K149" s="363" t="str">
        <f>IFERROR(INDEX('G-8 Condition Look up'!$A$3:$H$135,MATCH(F149,'G-8 Condition Look up'!$A$3:$A$135,0),MATCH(J149,'G-8 Condition Look up'!$A$3:$H$3,0)),"")</f>
        <v/>
      </c>
      <c r="L149" s="54"/>
      <c r="M149" s="370" t="str">
        <f>IF(L149="","",IF(VLOOKUP(L149,'G-3 Multipliers'!$L$3:$N$6,2,FALSE)=0,"Spatial Data Missing",VLOOKUP(L149,'G-3 Multipliers'!$L$3:$N$6,2,FALSE)))</f>
        <v/>
      </c>
      <c r="N149" s="368" t="str">
        <f>IF(L149="","",IF(VLOOKUP(L149,'G-3 Multipliers'!$L$3:$N$6,3,FALSE)=0,"Spatial Data Missing",VLOOKUP(L149,'G-3 Multipliers'!$L$3:$N$6,3,FALSE)))</f>
        <v/>
      </c>
      <c r="O149" s="362" t="str">
        <f t="shared" si="12"/>
        <v/>
      </c>
      <c r="P149" s="63"/>
      <c r="Q149" s="63"/>
      <c r="R149" s="370" t="str">
        <f t="shared" si="14"/>
        <v/>
      </c>
      <c r="S149" s="383" t="str">
        <f t="shared" si="15"/>
        <v/>
      </c>
      <c r="T149" s="384"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losses",P149&gt;=O149),"Low",VLOOKUP(F149,'G-3 Multipliers'!$A$2:$E$134,4,FALSE))))</f>
        <v/>
      </c>
      <c r="X149" s="386" t="str">
        <f>IFERROR(IF(E149="","",VLOOKUP(W149, 'G-3 Multipliers'!$P$2:$Q$6,2,FALSE)),"")</f>
        <v/>
      </c>
      <c r="Y149" s="390" t="str">
        <f t="shared" si="16"/>
        <v/>
      </c>
      <c r="Z149" s="194"/>
      <c r="AA149" s="195"/>
      <c r="AB149" s="120"/>
      <c r="AE149" s="40" t="str">
        <f t="shared" si="13"/>
        <v/>
      </c>
    </row>
    <row r="150" spans="1:31" x14ac:dyDescent="0.25">
      <c r="A150" s="35" t="str">
        <f>IFERROR(INDEX('G-8 Condition Look up'!$I$4:$I$135,MATCH(F150,'G-8 Condition Look up'!$A$4:$A$135,0)),"")</f>
        <v/>
      </c>
      <c r="C150" s="299" t="str">
        <f>IFERROR(INDEX('G-1 All Habitats'!$AG$3:$AG$17,MATCH(D150,'G-1 All Habitats'!$AF$3:$AF$17,0)),"")</f>
        <v/>
      </c>
      <c r="D150" s="54"/>
      <c r="E150" s="61"/>
      <c r="F150" s="296" t="str">
        <f>IFERROR(INDEX('G-1 All Habitats'!$B$3:$B$134,MATCH(E150,'G-1 All Habitats'!$A$3:$A$134,0)),"")</f>
        <v/>
      </c>
      <c r="G150" s="53"/>
      <c r="H150" s="362" t="str">
        <f>IF(F150="","",VLOOKUP(F150,'G-1 All Habitats'!$B$2:$M$134,10,FALSE))</f>
        <v/>
      </c>
      <c r="I150" s="363" t="str">
        <f>IFERROR(VLOOKUP(H150,'G-1 All Habitats'!$V$3:$W$7,2,FALSE),"")</f>
        <v/>
      </c>
      <c r="J150" s="54"/>
      <c r="K150" s="363" t="str">
        <f>IFERROR(INDEX('G-8 Condition Look up'!$A$3:$H$135,MATCH(F150,'G-8 Condition Look up'!$A$3:$A$135,0),MATCH(J150,'G-8 Condition Look up'!$A$3:$H$3,0)),"")</f>
        <v/>
      </c>
      <c r="L150" s="54"/>
      <c r="M150" s="370" t="str">
        <f>IF(L150="","",IF(VLOOKUP(L150,'G-3 Multipliers'!$L$3:$N$6,2,FALSE)=0,"Spatial Data Missing",VLOOKUP(L150,'G-3 Multipliers'!$L$3:$N$6,2,FALSE)))</f>
        <v/>
      </c>
      <c r="N150" s="368" t="str">
        <f>IF(L150="","",IF(VLOOKUP(L150,'G-3 Multipliers'!$L$3:$N$6,3,FALSE)=0,"Spatial Data Missing",VLOOKUP(L150,'G-3 Multipliers'!$L$3:$N$6,3,FALSE)))</f>
        <v/>
      </c>
      <c r="O150" s="362" t="str">
        <f t="shared" si="12"/>
        <v/>
      </c>
      <c r="P150" s="63"/>
      <c r="Q150" s="63"/>
      <c r="R150" s="370" t="str">
        <f t="shared" si="14"/>
        <v/>
      </c>
      <c r="S150" s="383" t="str">
        <f t="shared" si="15"/>
        <v/>
      </c>
      <c r="T150" s="384"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losses",P150&gt;=O150),"Low",VLOOKUP(F150,'G-3 Multipliers'!$A$2:$E$134,4,FALSE))))</f>
        <v/>
      </c>
      <c r="X150" s="386" t="str">
        <f>IFERROR(IF(E150="","",VLOOKUP(W150, 'G-3 Multipliers'!$P$2:$Q$6,2,FALSE)),"")</f>
        <v/>
      </c>
      <c r="Y150" s="390" t="str">
        <f t="shared" si="16"/>
        <v/>
      </c>
      <c r="Z150" s="194"/>
      <c r="AA150" s="195"/>
      <c r="AB150" s="120"/>
      <c r="AE150" s="40" t="str">
        <f t="shared" si="13"/>
        <v/>
      </c>
    </row>
    <row r="151" spans="1:31" x14ac:dyDescent="0.25">
      <c r="A151" s="35" t="str">
        <f>IFERROR(INDEX('G-8 Condition Look up'!$I$4:$I$135,MATCH(F151,'G-8 Condition Look up'!$A$4:$A$135,0)),"")</f>
        <v/>
      </c>
      <c r="C151" s="299" t="str">
        <f>IFERROR(INDEX('G-1 All Habitats'!$AG$3:$AG$17,MATCH(D151,'G-1 All Habitats'!$AF$3:$AF$17,0)),"")</f>
        <v/>
      </c>
      <c r="D151" s="54"/>
      <c r="E151" s="61"/>
      <c r="F151" s="296" t="str">
        <f>IFERROR(INDEX('G-1 All Habitats'!$B$3:$B$134,MATCH(E151,'G-1 All Habitats'!$A$3:$A$134,0)),"")</f>
        <v/>
      </c>
      <c r="G151" s="53"/>
      <c r="H151" s="362" t="str">
        <f>IF(F151="","",VLOOKUP(F151,'G-1 All Habitats'!$B$2:$M$134,10,FALSE))</f>
        <v/>
      </c>
      <c r="I151" s="363" t="str">
        <f>IFERROR(VLOOKUP(H151,'G-1 All Habitats'!$V$3:$W$7,2,FALSE),"")</f>
        <v/>
      </c>
      <c r="J151" s="54"/>
      <c r="K151" s="363" t="str">
        <f>IFERROR(INDEX('G-8 Condition Look up'!$A$3:$H$135,MATCH(F151,'G-8 Condition Look up'!$A$3:$A$135,0),MATCH(J151,'G-8 Condition Look up'!$A$3:$H$3,0)),"")</f>
        <v/>
      </c>
      <c r="L151" s="54"/>
      <c r="M151" s="370" t="str">
        <f>IF(L151="","",IF(VLOOKUP(L151,'G-3 Multipliers'!$L$3:$N$6,2,FALSE)=0,"Spatial Data Missing",VLOOKUP(L151,'G-3 Multipliers'!$L$3:$N$6,2,FALSE)))</f>
        <v/>
      </c>
      <c r="N151" s="368" t="str">
        <f>IF(L151="","",IF(VLOOKUP(L151,'G-3 Multipliers'!$L$3:$N$6,3,FALSE)=0,"Spatial Data Missing",VLOOKUP(L151,'G-3 Multipliers'!$L$3:$N$6,3,FALSE)))</f>
        <v/>
      </c>
      <c r="O151" s="362" t="str">
        <f t="shared" si="12"/>
        <v/>
      </c>
      <c r="P151" s="63"/>
      <c r="Q151" s="63"/>
      <c r="R151" s="370" t="str">
        <f t="shared" si="14"/>
        <v/>
      </c>
      <c r="S151" s="383" t="str">
        <f t="shared" si="15"/>
        <v/>
      </c>
      <c r="T151" s="384"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losses",P151&gt;=O151),"Low",VLOOKUP(F151,'G-3 Multipliers'!$A$2:$E$134,4,FALSE))))</f>
        <v/>
      </c>
      <c r="X151" s="386" t="str">
        <f>IFERROR(IF(E151="","",VLOOKUP(W151, 'G-3 Multipliers'!$P$2:$Q$6,2,FALSE)),"")</f>
        <v/>
      </c>
      <c r="Y151" s="390" t="str">
        <f t="shared" si="16"/>
        <v/>
      </c>
      <c r="Z151" s="194"/>
      <c r="AA151" s="195"/>
      <c r="AB151" s="120"/>
      <c r="AE151" s="40" t="str">
        <f t="shared" si="13"/>
        <v/>
      </c>
    </row>
    <row r="152" spans="1:31" x14ac:dyDescent="0.25">
      <c r="A152" s="35" t="str">
        <f>IFERROR(INDEX('G-8 Condition Look up'!$I$4:$I$135,MATCH(F152,'G-8 Condition Look up'!$A$4:$A$135,0)),"")</f>
        <v/>
      </c>
      <c r="C152" s="299" t="str">
        <f>IFERROR(INDEX('G-1 All Habitats'!$AG$3:$AG$17,MATCH(D152,'G-1 All Habitats'!$AF$3:$AF$17,0)),"")</f>
        <v/>
      </c>
      <c r="D152" s="54"/>
      <c r="E152" s="61"/>
      <c r="F152" s="296" t="str">
        <f>IFERROR(INDEX('G-1 All Habitats'!$B$3:$B$134,MATCH(E152,'G-1 All Habitats'!$A$3:$A$134,0)),"")</f>
        <v/>
      </c>
      <c r="G152" s="53"/>
      <c r="H152" s="362" t="str">
        <f>IF(F152="","",VLOOKUP(F152,'G-1 All Habitats'!$B$2:$M$134,10,FALSE))</f>
        <v/>
      </c>
      <c r="I152" s="363" t="str">
        <f>IFERROR(VLOOKUP(H152,'G-1 All Habitats'!$V$3:$W$7,2,FALSE),"")</f>
        <v/>
      </c>
      <c r="J152" s="54"/>
      <c r="K152" s="363" t="str">
        <f>IFERROR(INDEX('G-8 Condition Look up'!$A$3:$H$135,MATCH(F152,'G-8 Condition Look up'!$A$3:$A$135,0),MATCH(J152,'G-8 Condition Look up'!$A$3:$H$3,0)),"")</f>
        <v/>
      </c>
      <c r="L152" s="54"/>
      <c r="M152" s="370" t="str">
        <f>IF(L152="","",IF(VLOOKUP(L152,'G-3 Multipliers'!$L$3:$N$6,2,FALSE)=0,"Spatial Data Missing",VLOOKUP(L152,'G-3 Multipliers'!$L$3:$N$6,2,FALSE)))</f>
        <v/>
      </c>
      <c r="N152" s="368" t="str">
        <f>IF(L152="","",IF(VLOOKUP(L152,'G-3 Multipliers'!$L$3:$N$6,3,FALSE)=0,"Spatial Data Missing",VLOOKUP(L152,'G-3 Multipliers'!$L$3:$N$6,3,FALSE)))</f>
        <v/>
      </c>
      <c r="O152" s="362" t="str">
        <f t="shared" si="12"/>
        <v/>
      </c>
      <c r="P152" s="63"/>
      <c r="Q152" s="63"/>
      <c r="R152" s="370" t="str">
        <f t="shared" si="14"/>
        <v/>
      </c>
      <c r="S152" s="383" t="str">
        <f t="shared" si="15"/>
        <v/>
      </c>
      <c r="T152" s="384"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losses",P152&gt;=O152),"Low",VLOOKUP(F152,'G-3 Multipliers'!$A$2:$E$134,4,FALSE))))</f>
        <v/>
      </c>
      <c r="X152" s="386" t="str">
        <f>IFERROR(IF(E152="","",VLOOKUP(W152, 'G-3 Multipliers'!$P$2:$Q$6,2,FALSE)),"")</f>
        <v/>
      </c>
      <c r="Y152" s="390" t="str">
        <f t="shared" si="16"/>
        <v/>
      </c>
      <c r="Z152" s="194"/>
      <c r="AA152" s="195"/>
      <c r="AB152" s="120"/>
      <c r="AE152" s="40" t="str">
        <f t="shared" si="13"/>
        <v/>
      </c>
    </row>
    <row r="153" spans="1:31" x14ac:dyDescent="0.25">
      <c r="A153" s="35" t="str">
        <f>IFERROR(INDEX('G-8 Condition Look up'!$I$4:$I$135,MATCH(F153,'G-8 Condition Look up'!$A$4:$A$135,0)),"")</f>
        <v/>
      </c>
      <c r="C153" s="299" t="str">
        <f>IFERROR(INDEX('G-1 All Habitats'!$AG$3:$AG$17,MATCH(D153,'G-1 All Habitats'!$AF$3:$AF$17,0)),"")</f>
        <v/>
      </c>
      <c r="D153" s="54"/>
      <c r="E153" s="61"/>
      <c r="F153" s="296" t="str">
        <f>IFERROR(INDEX('G-1 All Habitats'!$B$3:$B$134,MATCH(E153,'G-1 All Habitats'!$A$3:$A$134,0)),"")</f>
        <v/>
      </c>
      <c r="G153" s="53"/>
      <c r="H153" s="362" t="str">
        <f>IF(F153="","",VLOOKUP(F153,'G-1 All Habitats'!$B$2:$M$134,10,FALSE))</f>
        <v/>
      </c>
      <c r="I153" s="363" t="str">
        <f>IFERROR(VLOOKUP(H153,'G-1 All Habitats'!$V$3:$W$7,2,FALSE),"")</f>
        <v/>
      </c>
      <c r="J153" s="54"/>
      <c r="K153" s="363" t="str">
        <f>IFERROR(INDEX('G-8 Condition Look up'!$A$3:$H$135,MATCH(F153,'G-8 Condition Look up'!$A$3:$A$135,0),MATCH(J153,'G-8 Condition Look up'!$A$3:$H$3,0)),"")</f>
        <v/>
      </c>
      <c r="L153" s="54"/>
      <c r="M153" s="370" t="str">
        <f>IF(L153="","",IF(VLOOKUP(L153,'G-3 Multipliers'!$L$3:$N$6,2,FALSE)=0,"Spatial Data Missing",VLOOKUP(L153,'G-3 Multipliers'!$L$3:$N$6,2,FALSE)))</f>
        <v/>
      </c>
      <c r="N153" s="368" t="str">
        <f>IF(L153="","",IF(VLOOKUP(L153,'G-3 Multipliers'!$L$3:$N$6,3,FALSE)=0,"Spatial Data Missing",VLOOKUP(L153,'G-3 Multipliers'!$L$3:$N$6,3,FALSE)))</f>
        <v/>
      </c>
      <c r="O153" s="362" t="str">
        <f t="shared" si="12"/>
        <v/>
      </c>
      <c r="P153" s="63"/>
      <c r="Q153" s="63"/>
      <c r="R153" s="370" t="str">
        <f t="shared" si="14"/>
        <v/>
      </c>
      <c r="S153" s="383" t="str">
        <f t="shared" si="15"/>
        <v/>
      </c>
      <c r="T153" s="384"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losses",P153&gt;=O153),"Low",VLOOKUP(F153,'G-3 Multipliers'!$A$2:$E$134,4,FALSE))))</f>
        <v/>
      </c>
      <c r="X153" s="386" t="str">
        <f>IFERROR(IF(E153="","",VLOOKUP(W153, 'G-3 Multipliers'!$P$2:$Q$6,2,FALSE)),"")</f>
        <v/>
      </c>
      <c r="Y153" s="390" t="str">
        <f t="shared" si="16"/>
        <v/>
      </c>
      <c r="Z153" s="194"/>
      <c r="AA153" s="195"/>
      <c r="AB153" s="120"/>
      <c r="AE153" s="40" t="str">
        <f t="shared" si="13"/>
        <v/>
      </c>
    </row>
    <row r="154" spans="1:31" x14ac:dyDescent="0.25">
      <c r="A154" s="35" t="str">
        <f>IFERROR(INDEX('G-8 Condition Look up'!$I$4:$I$135,MATCH(F154,'G-8 Condition Look up'!$A$4:$A$135,0)),"")</f>
        <v/>
      </c>
      <c r="C154" s="299" t="str">
        <f>IFERROR(INDEX('G-1 All Habitats'!$AG$3:$AG$17,MATCH(D154,'G-1 All Habitats'!$AF$3:$AF$17,0)),"")</f>
        <v/>
      </c>
      <c r="D154" s="54"/>
      <c r="E154" s="61"/>
      <c r="F154" s="296" t="str">
        <f>IFERROR(INDEX('G-1 All Habitats'!$B$3:$B$134,MATCH(E154,'G-1 All Habitats'!$A$3:$A$134,0)),"")</f>
        <v/>
      </c>
      <c r="G154" s="53"/>
      <c r="H154" s="362" t="str">
        <f>IF(F154="","",VLOOKUP(F154,'G-1 All Habitats'!$B$2:$M$134,10,FALSE))</f>
        <v/>
      </c>
      <c r="I154" s="363" t="str">
        <f>IFERROR(VLOOKUP(H154,'G-1 All Habitats'!$V$3:$W$7,2,FALSE),"")</f>
        <v/>
      </c>
      <c r="J154" s="54"/>
      <c r="K154" s="363" t="str">
        <f>IFERROR(INDEX('G-8 Condition Look up'!$A$3:$H$135,MATCH(F154,'G-8 Condition Look up'!$A$3:$A$135,0),MATCH(J154,'G-8 Condition Look up'!$A$3:$H$3,0)),"")</f>
        <v/>
      </c>
      <c r="L154" s="54"/>
      <c r="M154" s="370" t="str">
        <f>IF(L154="","",IF(VLOOKUP(L154,'G-3 Multipliers'!$L$3:$N$6,2,FALSE)=0,"Spatial Data Missing",VLOOKUP(L154,'G-3 Multipliers'!$L$3:$N$6,2,FALSE)))</f>
        <v/>
      </c>
      <c r="N154" s="368" t="str">
        <f>IF(L154="","",IF(VLOOKUP(L154,'G-3 Multipliers'!$L$3:$N$6,3,FALSE)=0,"Spatial Data Missing",VLOOKUP(L154,'G-3 Multipliers'!$L$3:$N$6,3,FALSE)))</f>
        <v/>
      </c>
      <c r="O154" s="362" t="str">
        <f t="shared" si="12"/>
        <v/>
      </c>
      <c r="P154" s="63"/>
      <c r="Q154" s="63"/>
      <c r="R154" s="370" t="str">
        <f t="shared" si="14"/>
        <v/>
      </c>
      <c r="S154" s="383" t="str">
        <f t="shared" si="15"/>
        <v/>
      </c>
      <c r="T154" s="384"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losses",P154&gt;=O154),"Low",VLOOKUP(F154,'G-3 Multipliers'!$A$2:$E$134,4,FALSE))))</f>
        <v/>
      </c>
      <c r="X154" s="386" t="str">
        <f>IFERROR(IF(E154="","",VLOOKUP(W154, 'G-3 Multipliers'!$P$2:$Q$6,2,FALSE)),"")</f>
        <v/>
      </c>
      <c r="Y154" s="390" t="str">
        <f t="shared" si="16"/>
        <v/>
      </c>
      <c r="Z154" s="194"/>
      <c r="AA154" s="195"/>
      <c r="AB154" s="120"/>
      <c r="AE154" s="40" t="str">
        <f t="shared" si="13"/>
        <v/>
      </c>
    </row>
    <row r="155" spans="1:31" x14ac:dyDescent="0.25">
      <c r="A155" s="35" t="str">
        <f>IFERROR(INDEX('G-8 Condition Look up'!$I$4:$I$135,MATCH(F155,'G-8 Condition Look up'!$A$4:$A$135,0)),"")</f>
        <v/>
      </c>
      <c r="C155" s="299" t="str">
        <f>IFERROR(INDEX('G-1 All Habitats'!$AG$3:$AG$17,MATCH(D155,'G-1 All Habitats'!$AF$3:$AF$17,0)),"")</f>
        <v/>
      </c>
      <c r="D155" s="54"/>
      <c r="E155" s="61"/>
      <c r="F155" s="296" t="str">
        <f>IFERROR(INDEX('G-1 All Habitats'!$B$3:$B$134,MATCH(E155,'G-1 All Habitats'!$A$3:$A$134,0)),"")</f>
        <v/>
      </c>
      <c r="G155" s="53"/>
      <c r="H155" s="362" t="str">
        <f>IF(F155="","",VLOOKUP(F155,'G-1 All Habitats'!$B$2:$M$134,10,FALSE))</f>
        <v/>
      </c>
      <c r="I155" s="363" t="str">
        <f>IFERROR(VLOOKUP(H155,'G-1 All Habitats'!$V$3:$W$7,2,FALSE),"")</f>
        <v/>
      </c>
      <c r="J155" s="54"/>
      <c r="K155" s="363" t="str">
        <f>IFERROR(INDEX('G-8 Condition Look up'!$A$3:$H$135,MATCH(F155,'G-8 Condition Look up'!$A$3:$A$135,0),MATCH(J155,'G-8 Condition Look up'!$A$3:$H$3,0)),"")</f>
        <v/>
      </c>
      <c r="L155" s="54"/>
      <c r="M155" s="370" t="str">
        <f>IF(L155="","",IF(VLOOKUP(L155,'G-3 Multipliers'!$L$3:$N$6,2,FALSE)=0,"Spatial Data Missing",VLOOKUP(L155,'G-3 Multipliers'!$L$3:$N$6,2,FALSE)))</f>
        <v/>
      </c>
      <c r="N155" s="368" t="str">
        <f>IF(L155="","",IF(VLOOKUP(L155,'G-3 Multipliers'!$L$3:$N$6,3,FALSE)=0,"Spatial Data Missing",VLOOKUP(L155,'G-3 Multipliers'!$L$3:$N$6,3,FALSE)))</f>
        <v/>
      </c>
      <c r="O155" s="362" t="str">
        <f t="shared" si="12"/>
        <v/>
      </c>
      <c r="P155" s="63"/>
      <c r="Q155" s="63"/>
      <c r="R155" s="370" t="str">
        <f t="shared" si="14"/>
        <v/>
      </c>
      <c r="S155" s="383" t="str">
        <f t="shared" si="15"/>
        <v/>
      </c>
      <c r="T155" s="384"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losses",P155&gt;=O155),"Low",VLOOKUP(F155,'G-3 Multipliers'!$A$2:$E$134,4,FALSE))))</f>
        <v/>
      </c>
      <c r="X155" s="386" t="str">
        <f>IFERROR(IF(E155="","",VLOOKUP(W155, 'G-3 Multipliers'!$P$2:$Q$6,2,FALSE)),"")</f>
        <v/>
      </c>
      <c r="Y155" s="390" t="str">
        <f t="shared" si="16"/>
        <v/>
      </c>
      <c r="Z155" s="194"/>
      <c r="AA155" s="195"/>
      <c r="AB155" s="120"/>
      <c r="AE155" s="40" t="str">
        <f t="shared" si="13"/>
        <v/>
      </c>
    </row>
    <row r="156" spans="1:31" x14ac:dyDescent="0.25">
      <c r="A156" s="35" t="str">
        <f>IFERROR(INDEX('G-8 Condition Look up'!$I$4:$I$135,MATCH(F156,'G-8 Condition Look up'!$A$4:$A$135,0)),"")</f>
        <v/>
      </c>
      <c r="C156" s="299" t="str">
        <f>IFERROR(INDEX('G-1 All Habitats'!$AG$3:$AG$17,MATCH(D156,'G-1 All Habitats'!$AF$3:$AF$17,0)),"")</f>
        <v/>
      </c>
      <c r="D156" s="54"/>
      <c r="E156" s="61"/>
      <c r="F156" s="296" t="str">
        <f>IFERROR(INDEX('G-1 All Habitats'!$B$3:$B$134,MATCH(E156,'G-1 All Habitats'!$A$3:$A$134,0)),"")</f>
        <v/>
      </c>
      <c r="G156" s="53"/>
      <c r="H156" s="362" t="str">
        <f>IF(F156="","",VLOOKUP(F156,'G-1 All Habitats'!$B$2:$M$134,10,FALSE))</f>
        <v/>
      </c>
      <c r="I156" s="363" t="str">
        <f>IFERROR(VLOOKUP(H156,'G-1 All Habitats'!$V$3:$W$7,2,FALSE),"")</f>
        <v/>
      </c>
      <c r="J156" s="54"/>
      <c r="K156" s="363" t="str">
        <f>IFERROR(INDEX('G-8 Condition Look up'!$A$3:$H$135,MATCH(F156,'G-8 Condition Look up'!$A$3:$A$135,0),MATCH(J156,'G-8 Condition Look up'!$A$3:$H$3,0)),"")</f>
        <v/>
      </c>
      <c r="L156" s="54"/>
      <c r="M156" s="370" t="str">
        <f>IF(L156="","",IF(VLOOKUP(L156,'G-3 Multipliers'!$L$3:$N$6,2,FALSE)=0,"Spatial Data Missing",VLOOKUP(L156,'G-3 Multipliers'!$L$3:$N$6,2,FALSE)))</f>
        <v/>
      </c>
      <c r="N156" s="368" t="str">
        <f>IF(L156="","",IF(VLOOKUP(L156,'G-3 Multipliers'!$L$3:$N$6,3,FALSE)=0,"Spatial Data Missing",VLOOKUP(L156,'G-3 Multipliers'!$L$3:$N$6,3,FALSE)))</f>
        <v/>
      </c>
      <c r="O156" s="362" t="str">
        <f t="shared" si="12"/>
        <v/>
      </c>
      <c r="P156" s="63"/>
      <c r="Q156" s="63"/>
      <c r="R156" s="370" t="str">
        <f t="shared" si="14"/>
        <v/>
      </c>
      <c r="S156" s="383" t="str">
        <f t="shared" si="15"/>
        <v/>
      </c>
      <c r="T156" s="384"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losses",P156&gt;=O156),"Low",VLOOKUP(F156,'G-3 Multipliers'!$A$2:$E$134,4,FALSE))))</f>
        <v/>
      </c>
      <c r="X156" s="386" t="str">
        <f>IFERROR(IF(E156="","",VLOOKUP(W156, 'G-3 Multipliers'!$P$2:$Q$6,2,FALSE)),"")</f>
        <v/>
      </c>
      <c r="Y156" s="390" t="str">
        <f t="shared" si="16"/>
        <v/>
      </c>
      <c r="Z156" s="194"/>
      <c r="AA156" s="195"/>
      <c r="AB156" s="120"/>
      <c r="AE156" s="40" t="str">
        <f t="shared" si="13"/>
        <v/>
      </c>
    </row>
    <row r="157" spans="1:31" x14ac:dyDescent="0.25">
      <c r="A157" s="35" t="str">
        <f>IFERROR(INDEX('G-8 Condition Look up'!$I$4:$I$135,MATCH(F157,'G-8 Condition Look up'!$A$4:$A$135,0)),"")</f>
        <v/>
      </c>
      <c r="C157" s="299" t="str">
        <f>IFERROR(INDEX('G-1 All Habitats'!$AG$3:$AG$17,MATCH(D157,'G-1 All Habitats'!$AF$3:$AF$17,0)),"")</f>
        <v/>
      </c>
      <c r="D157" s="54"/>
      <c r="E157" s="61"/>
      <c r="F157" s="296" t="str">
        <f>IFERROR(INDEX('G-1 All Habitats'!$B$3:$B$134,MATCH(E157,'G-1 All Habitats'!$A$3:$A$134,0)),"")</f>
        <v/>
      </c>
      <c r="G157" s="53"/>
      <c r="H157" s="362" t="str">
        <f>IF(F157="","",VLOOKUP(F157,'G-1 All Habitats'!$B$2:$M$134,10,FALSE))</f>
        <v/>
      </c>
      <c r="I157" s="363" t="str">
        <f>IFERROR(VLOOKUP(H157,'G-1 All Habitats'!$V$3:$W$7,2,FALSE),"")</f>
        <v/>
      </c>
      <c r="J157" s="54"/>
      <c r="K157" s="363" t="str">
        <f>IFERROR(INDEX('G-8 Condition Look up'!$A$3:$H$135,MATCH(F157,'G-8 Condition Look up'!$A$3:$A$135,0),MATCH(J157,'G-8 Condition Look up'!$A$3:$H$3,0)),"")</f>
        <v/>
      </c>
      <c r="L157" s="54"/>
      <c r="M157" s="370" t="str">
        <f>IF(L157="","",IF(VLOOKUP(L157,'G-3 Multipliers'!$L$3:$N$6,2,FALSE)=0,"Spatial Data Missing",VLOOKUP(L157,'G-3 Multipliers'!$L$3:$N$6,2,FALSE)))</f>
        <v/>
      </c>
      <c r="N157" s="368" t="str">
        <f>IF(L157="","",IF(VLOOKUP(L157,'G-3 Multipliers'!$L$3:$N$6,3,FALSE)=0,"Spatial Data Missing",VLOOKUP(L157,'G-3 Multipliers'!$L$3:$N$6,3,FALSE)))</f>
        <v/>
      </c>
      <c r="O157" s="362" t="str">
        <f t="shared" si="12"/>
        <v/>
      </c>
      <c r="P157" s="63"/>
      <c r="Q157" s="63"/>
      <c r="R157" s="370" t="str">
        <f t="shared" si="14"/>
        <v/>
      </c>
      <c r="S157" s="383" t="str">
        <f t="shared" si="15"/>
        <v/>
      </c>
      <c r="T157" s="384"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losses",P157&gt;=O157),"Low",VLOOKUP(F157,'G-3 Multipliers'!$A$2:$E$134,4,FALSE))))</f>
        <v/>
      </c>
      <c r="X157" s="386" t="str">
        <f>IFERROR(IF(E157="","",VLOOKUP(W157, 'G-3 Multipliers'!$P$2:$Q$6,2,FALSE)),"")</f>
        <v/>
      </c>
      <c r="Y157" s="390" t="str">
        <f t="shared" si="16"/>
        <v/>
      </c>
      <c r="Z157" s="194"/>
      <c r="AA157" s="195"/>
      <c r="AB157" s="120"/>
      <c r="AE157" s="40" t="str">
        <f t="shared" si="13"/>
        <v/>
      </c>
    </row>
    <row r="158" spans="1:31" x14ac:dyDescent="0.25">
      <c r="A158" s="35" t="str">
        <f>IFERROR(INDEX('G-8 Condition Look up'!$I$4:$I$135,MATCH(F158,'G-8 Condition Look up'!$A$4:$A$135,0)),"")</f>
        <v/>
      </c>
      <c r="C158" s="299" t="str">
        <f>IFERROR(INDEX('G-1 All Habitats'!$AG$3:$AG$17,MATCH(D158,'G-1 All Habitats'!$AF$3:$AF$17,0)),"")</f>
        <v/>
      </c>
      <c r="D158" s="54"/>
      <c r="E158" s="61"/>
      <c r="F158" s="296" t="str">
        <f>IFERROR(INDEX('G-1 All Habitats'!$B$3:$B$134,MATCH(E158,'G-1 All Habitats'!$A$3:$A$134,0)),"")</f>
        <v/>
      </c>
      <c r="G158" s="53"/>
      <c r="H158" s="362" t="str">
        <f>IF(F158="","",VLOOKUP(F158,'G-1 All Habitats'!$B$2:$M$134,10,FALSE))</f>
        <v/>
      </c>
      <c r="I158" s="363" t="str">
        <f>IFERROR(VLOOKUP(H158,'G-1 All Habitats'!$V$3:$W$7,2,FALSE),"")</f>
        <v/>
      </c>
      <c r="J158" s="54"/>
      <c r="K158" s="363" t="str">
        <f>IFERROR(INDEX('G-8 Condition Look up'!$A$3:$H$135,MATCH(F158,'G-8 Condition Look up'!$A$3:$A$135,0),MATCH(J158,'G-8 Condition Look up'!$A$3:$H$3,0)),"")</f>
        <v/>
      </c>
      <c r="L158" s="54"/>
      <c r="M158" s="370" t="str">
        <f>IF(L158="","",IF(VLOOKUP(L158,'G-3 Multipliers'!$L$3:$N$6,2,FALSE)=0,"Spatial Data Missing",VLOOKUP(L158,'G-3 Multipliers'!$L$3:$N$6,2,FALSE)))</f>
        <v/>
      </c>
      <c r="N158" s="368" t="str">
        <f>IF(L158="","",IF(VLOOKUP(L158,'G-3 Multipliers'!$L$3:$N$6,3,FALSE)=0,"Spatial Data Missing",VLOOKUP(L158,'G-3 Multipliers'!$L$3:$N$6,3,FALSE)))</f>
        <v/>
      </c>
      <c r="O158" s="362" t="str">
        <f t="shared" si="12"/>
        <v/>
      </c>
      <c r="P158" s="63"/>
      <c r="Q158" s="63"/>
      <c r="R158" s="370" t="str">
        <f t="shared" si="14"/>
        <v/>
      </c>
      <c r="S158" s="383" t="str">
        <f t="shared" si="15"/>
        <v/>
      </c>
      <c r="T158" s="384"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losses",P158&gt;=O158),"Low",VLOOKUP(F158,'G-3 Multipliers'!$A$2:$E$134,4,FALSE))))</f>
        <v/>
      </c>
      <c r="X158" s="386" t="str">
        <f>IFERROR(IF(E158="","",VLOOKUP(W158, 'G-3 Multipliers'!$P$2:$Q$6,2,FALSE)),"")</f>
        <v/>
      </c>
      <c r="Y158" s="390" t="str">
        <f t="shared" si="16"/>
        <v/>
      </c>
      <c r="Z158" s="194"/>
      <c r="AA158" s="195"/>
      <c r="AB158" s="120"/>
      <c r="AE158" s="40" t="str">
        <f t="shared" si="13"/>
        <v/>
      </c>
    </row>
    <row r="159" spans="1:31" x14ac:dyDescent="0.25">
      <c r="A159" s="35" t="str">
        <f>IFERROR(INDEX('G-8 Condition Look up'!$I$4:$I$135,MATCH(F159,'G-8 Condition Look up'!$A$4:$A$135,0)),"")</f>
        <v/>
      </c>
      <c r="C159" s="299" t="str">
        <f>IFERROR(INDEX('G-1 All Habitats'!$AG$3:$AG$17,MATCH(D159,'G-1 All Habitats'!$AF$3:$AF$17,0)),"")</f>
        <v/>
      </c>
      <c r="D159" s="54"/>
      <c r="E159" s="61"/>
      <c r="F159" s="296" t="str">
        <f>IFERROR(INDEX('G-1 All Habitats'!$B$3:$B$134,MATCH(E159,'G-1 All Habitats'!$A$3:$A$134,0)),"")</f>
        <v/>
      </c>
      <c r="G159" s="53"/>
      <c r="H159" s="362" t="str">
        <f>IF(F159="","",VLOOKUP(F159,'G-1 All Habitats'!$B$2:$M$134,10,FALSE))</f>
        <v/>
      </c>
      <c r="I159" s="363" t="str">
        <f>IFERROR(VLOOKUP(H159,'G-1 All Habitats'!$V$3:$W$7,2,FALSE),"")</f>
        <v/>
      </c>
      <c r="J159" s="54"/>
      <c r="K159" s="363" t="str">
        <f>IFERROR(INDEX('G-8 Condition Look up'!$A$3:$H$135,MATCH(F159,'G-8 Condition Look up'!$A$3:$A$135,0),MATCH(J159,'G-8 Condition Look up'!$A$3:$H$3,0)),"")</f>
        <v/>
      </c>
      <c r="L159" s="54"/>
      <c r="M159" s="370" t="str">
        <f>IF(L159="","",IF(VLOOKUP(L159,'G-3 Multipliers'!$L$3:$N$6,2,FALSE)=0,"Spatial Data Missing",VLOOKUP(L159,'G-3 Multipliers'!$L$3:$N$6,2,FALSE)))</f>
        <v/>
      </c>
      <c r="N159" s="368" t="str">
        <f>IF(L159="","",IF(VLOOKUP(L159,'G-3 Multipliers'!$L$3:$N$6,3,FALSE)=0,"Spatial Data Missing",VLOOKUP(L159,'G-3 Multipliers'!$L$3:$N$6,3,FALSE)))</f>
        <v/>
      </c>
      <c r="O159" s="362" t="str">
        <f t="shared" si="12"/>
        <v/>
      </c>
      <c r="P159" s="63"/>
      <c r="Q159" s="63"/>
      <c r="R159" s="370" t="str">
        <f t="shared" si="14"/>
        <v/>
      </c>
      <c r="S159" s="383" t="str">
        <f t="shared" si="15"/>
        <v/>
      </c>
      <c r="T159" s="384"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losses",P159&gt;=O159),"Low",VLOOKUP(F159,'G-3 Multipliers'!$A$2:$E$134,4,FALSE))))</f>
        <v/>
      </c>
      <c r="X159" s="386" t="str">
        <f>IFERROR(IF(E159="","",VLOOKUP(W159, 'G-3 Multipliers'!$P$2:$Q$6,2,FALSE)),"")</f>
        <v/>
      </c>
      <c r="Y159" s="390" t="str">
        <f t="shared" si="16"/>
        <v/>
      </c>
      <c r="Z159" s="194"/>
      <c r="AA159" s="195"/>
      <c r="AB159" s="120"/>
      <c r="AE159" s="40" t="str">
        <f t="shared" si="13"/>
        <v/>
      </c>
    </row>
    <row r="160" spans="1:31" x14ac:dyDescent="0.25">
      <c r="A160" s="35" t="str">
        <f>IFERROR(INDEX('G-8 Condition Look up'!$I$4:$I$135,MATCH(F160,'G-8 Condition Look up'!$A$4:$A$135,0)),"")</f>
        <v/>
      </c>
      <c r="C160" s="299" t="str">
        <f>IFERROR(INDEX('G-1 All Habitats'!$AG$3:$AG$17,MATCH(D160,'G-1 All Habitats'!$AF$3:$AF$17,0)),"")</f>
        <v/>
      </c>
      <c r="D160" s="54"/>
      <c r="E160" s="61"/>
      <c r="F160" s="296" t="str">
        <f>IFERROR(INDEX('G-1 All Habitats'!$B$3:$B$134,MATCH(E160,'G-1 All Habitats'!$A$3:$A$134,0)),"")</f>
        <v/>
      </c>
      <c r="G160" s="53"/>
      <c r="H160" s="362" t="str">
        <f>IF(F160="","",VLOOKUP(F160,'G-1 All Habitats'!$B$2:$M$134,10,FALSE))</f>
        <v/>
      </c>
      <c r="I160" s="363" t="str">
        <f>IFERROR(VLOOKUP(H160,'G-1 All Habitats'!$V$3:$W$7,2,FALSE),"")</f>
        <v/>
      </c>
      <c r="J160" s="54"/>
      <c r="K160" s="363" t="str">
        <f>IFERROR(INDEX('G-8 Condition Look up'!$A$3:$H$135,MATCH(F160,'G-8 Condition Look up'!$A$3:$A$135,0),MATCH(J160,'G-8 Condition Look up'!$A$3:$H$3,0)),"")</f>
        <v/>
      </c>
      <c r="L160" s="54"/>
      <c r="M160" s="370" t="str">
        <f>IF(L160="","",IF(VLOOKUP(L160,'G-3 Multipliers'!$L$3:$N$6,2,FALSE)=0,"Spatial Data Missing",VLOOKUP(L160,'G-3 Multipliers'!$L$3:$N$6,2,FALSE)))</f>
        <v/>
      </c>
      <c r="N160" s="368" t="str">
        <f>IF(L160="","",IF(VLOOKUP(L160,'G-3 Multipliers'!$L$3:$N$6,3,FALSE)=0,"Spatial Data Missing",VLOOKUP(L160,'G-3 Multipliers'!$L$3:$N$6,3,FALSE)))</f>
        <v/>
      </c>
      <c r="O160" s="362" t="str">
        <f t="shared" si="12"/>
        <v/>
      </c>
      <c r="P160" s="63"/>
      <c r="Q160" s="63"/>
      <c r="R160" s="370" t="str">
        <f t="shared" si="14"/>
        <v/>
      </c>
      <c r="S160" s="383" t="str">
        <f t="shared" si="15"/>
        <v/>
      </c>
      <c r="T160" s="384"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losses",P160&gt;=O160),"Low",VLOOKUP(F160,'G-3 Multipliers'!$A$2:$E$134,4,FALSE))))</f>
        <v/>
      </c>
      <c r="X160" s="386" t="str">
        <f>IFERROR(IF(E160="","",VLOOKUP(W160, 'G-3 Multipliers'!$P$2:$Q$6,2,FALSE)),"")</f>
        <v/>
      </c>
      <c r="Y160" s="390" t="str">
        <f t="shared" si="16"/>
        <v/>
      </c>
      <c r="Z160" s="194"/>
      <c r="AA160" s="195"/>
      <c r="AB160" s="120"/>
      <c r="AE160" s="40" t="str">
        <f t="shared" si="13"/>
        <v/>
      </c>
    </row>
    <row r="161" spans="1:31" x14ac:dyDescent="0.25">
      <c r="A161" s="35" t="str">
        <f>IFERROR(INDEX('G-8 Condition Look up'!$I$4:$I$135,MATCH(F161,'G-8 Condition Look up'!$A$4:$A$135,0)),"")</f>
        <v/>
      </c>
      <c r="C161" s="299" t="str">
        <f>IFERROR(INDEX('G-1 All Habitats'!$AG$3:$AG$17,MATCH(D161,'G-1 All Habitats'!$AF$3:$AF$17,0)),"")</f>
        <v/>
      </c>
      <c r="D161" s="54"/>
      <c r="E161" s="61"/>
      <c r="F161" s="296" t="str">
        <f>IFERROR(INDEX('G-1 All Habitats'!$B$3:$B$134,MATCH(E161,'G-1 All Habitats'!$A$3:$A$134,0)),"")</f>
        <v/>
      </c>
      <c r="G161" s="53"/>
      <c r="H161" s="362" t="str">
        <f>IF(F161="","",VLOOKUP(F161,'G-1 All Habitats'!$B$2:$M$134,10,FALSE))</f>
        <v/>
      </c>
      <c r="I161" s="363" t="str">
        <f>IFERROR(VLOOKUP(H161,'G-1 All Habitats'!$V$3:$W$7,2,FALSE),"")</f>
        <v/>
      </c>
      <c r="J161" s="54"/>
      <c r="K161" s="363" t="str">
        <f>IFERROR(INDEX('G-8 Condition Look up'!$A$3:$H$135,MATCH(F161,'G-8 Condition Look up'!$A$3:$A$135,0),MATCH(J161,'G-8 Condition Look up'!$A$3:$H$3,0)),"")</f>
        <v/>
      </c>
      <c r="L161" s="54"/>
      <c r="M161" s="370" t="str">
        <f>IF(L161="","",IF(VLOOKUP(L161,'G-3 Multipliers'!$L$3:$N$6,2,FALSE)=0,"Spatial Data Missing",VLOOKUP(L161,'G-3 Multipliers'!$L$3:$N$6,2,FALSE)))</f>
        <v/>
      </c>
      <c r="N161" s="368" t="str">
        <f>IF(L161="","",IF(VLOOKUP(L161,'G-3 Multipliers'!$L$3:$N$6,3,FALSE)=0,"Spatial Data Missing",VLOOKUP(L161,'G-3 Multipliers'!$L$3:$N$6,3,FALSE)))</f>
        <v/>
      </c>
      <c r="O161" s="362" t="str">
        <f t="shared" si="12"/>
        <v/>
      </c>
      <c r="P161" s="63"/>
      <c r="Q161" s="63"/>
      <c r="R161" s="370" t="str">
        <f t="shared" si="14"/>
        <v/>
      </c>
      <c r="S161" s="383" t="str">
        <f t="shared" si="15"/>
        <v/>
      </c>
      <c r="T161" s="384"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losses",P161&gt;=O161),"Low",VLOOKUP(F161,'G-3 Multipliers'!$A$2:$E$134,4,FALSE))))</f>
        <v/>
      </c>
      <c r="X161" s="386" t="str">
        <f>IFERROR(IF(E161="","",VLOOKUP(W161, 'G-3 Multipliers'!$P$2:$Q$6,2,FALSE)),"")</f>
        <v/>
      </c>
      <c r="Y161" s="390" t="str">
        <f t="shared" si="16"/>
        <v/>
      </c>
      <c r="Z161" s="194"/>
      <c r="AA161" s="195"/>
      <c r="AB161" s="120"/>
      <c r="AE161" s="40" t="str">
        <f t="shared" si="13"/>
        <v/>
      </c>
    </row>
    <row r="162" spans="1:31" x14ac:dyDescent="0.25">
      <c r="A162" s="35" t="str">
        <f>IFERROR(INDEX('G-8 Condition Look up'!$I$4:$I$135,MATCH(F162,'G-8 Condition Look up'!$A$4:$A$135,0)),"")</f>
        <v/>
      </c>
      <c r="C162" s="299" t="str">
        <f>IFERROR(INDEX('G-1 All Habitats'!$AG$3:$AG$17,MATCH(D162,'G-1 All Habitats'!$AF$3:$AF$17,0)),"")</f>
        <v/>
      </c>
      <c r="D162" s="54"/>
      <c r="E162" s="61"/>
      <c r="F162" s="296" t="str">
        <f>IFERROR(INDEX('G-1 All Habitats'!$B$3:$B$134,MATCH(E162,'G-1 All Habitats'!$A$3:$A$134,0)),"")</f>
        <v/>
      </c>
      <c r="G162" s="53"/>
      <c r="H162" s="362" t="str">
        <f>IF(F162="","",VLOOKUP(F162,'G-1 All Habitats'!$B$2:$M$134,10,FALSE))</f>
        <v/>
      </c>
      <c r="I162" s="363" t="str">
        <f>IFERROR(VLOOKUP(H162,'G-1 All Habitats'!$V$3:$W$7,2,FALSE),"")</f>
        <v/>
      </c>
      <c r="J162" s="54"/>
      <c r="K162" s="363" t="str">
        <f>IFERROR(INDEX('G-8 Condition Look up'!$A$3:$H$135,MATCH(F162,'G-8 Condition Look up'!$A$3:$A$135,0),MATCH(J162,'G-8 Condition Look up'!$A$3:$H$3,0)),"")</f>
        <v/>
      </c>
      <c r="L162" s="54"/>
      <c r="M162" s="370" t="str">
        <f>IF(L162="","",IF(VLOOKUP(L162,'G-3 Multipliers'!$L$3:$N$6,2,FALSE)=0,"Spatial Data Missing",VLOOKUP(L162,'G-3 Multipliers'!$L$3:$N$6,2,FALSE)))</f>
        <v/>
      </c>
      <c r="N162" s="368" t="str">
        <f>IF(L162="","",IF(VLOOKUP(L162,'G-3 Multipliers'!$L$3:$N$6,3,FALSE)=0,"Spatial Data Missing",VLOOKUP(L162,'G-3 Multipliers'!$L$3:$N$6,3,FALSE)))</f>
        <v/>
      </c>
      <c r="O162" s="362" t="str">
        <f t="shared" si="12"/>
        <v/>
      </c>
      <c r="P162" s="63"/>
      <c r="Q162" s="63"/>
      <c r="R162" s="370" t="str">
        <f t="shared" si="14"/>
        <v/>
      </c>
      <c r="S162" s="383" t="str">
        <f t="shared" si="15"/>
        <v/>
      </c>
      <c r="T162" s="384"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losses",P162&gt;=O162),"Low",VLOOKUP(F162,'G-3 Multipliers'!$A$2:$E$134,4,FALSE))))</f>
        <v/>
      </c>
      <c r="X162" s="386" t="str">
        <f>IFERROR(IF(E162="","",VLOOKUP(W162, 'G-3 Multipliers'!$P$2:$Q$6,2,FALSE)),"")</f>
        <v/>
      </c>
      <c r="Y162" s="390" t="str">
        <f t="shared" si="16"/>
        <v/>
      </c>
      <c r="Z162" s="194"/>
      <c r="AA162" s="195"/>
      <c r="AB162" s="120"/>
      <c r="AE162" s="40" t="str">
        <f t="shared" si="13"/>
        <v/>
      </c>
    </row>
    <row r="163" spans="1:31" x14ac:dyDescent="0.25">
      <c r="A163" s="35" t="str">
        <f>IFERROR(INDEX('G-8 Condition Look up'!$I$4:$I$135,MATCH(F163,'G-8 Condition Look up'!$A$4:$A$135,0)),"")</f>
        <v/>
      </c>
      <c r="C163" s="299" t="str">
        <f>IFERROR(INDEX('G-1 All Habitats'!$AG$3:$AG$17,MATCH(D163,'G-1 All Habitats'!$AF$3:$AF$17,0)),"")</f>
        <v/>
      </c>
      <c r="D163" s="54"/>
      <c r="E163" s="61"/>
      <c r="F163" s="296" t="str">
        <f>IFERROR(INDEX('G-1 All Habitats'!$B$3:$B$134,MATCH(E163,'G-1 All Habitats'!$A$3:$A$134,0)),"")</f>
        <v/>
      </c>
      <c r="G163" s="53"/>
      <c r="H163" s="362" t="str">
        <f>IF(F163="","",VLOOKUP(F163,'G-1 All Habitats'!$B$2:$M$134,10,FALSE))</f>
        <v/>
      </c>
      <c r="I163" s="363" t="str">
        <f>IFERROR(VLOOKUP(H163,'G-1 All Habitats'!$V$3:$W$7,2,FALSE),"")</f>
        <v/>
      </c>
      <c r="J163" s="54"/>
      <c r="K163" s="363" t="str">
        <f>IFERROR(INDEX('G-8 Condition Look up'!$A$3:$H$135,MATCH(F163,'G-8 Condition Look up'!$A$3:$A$135,0),MATCH(J163,'G-8 Condition Look up'!$A$3:$H$3,0)),"")</f>
        <v/>
      </c>
      <c r="L163" s="54"/>
      <c r="M163" s="370" t="str">
        <f>IF(L163="","",IF(VLOOKUP(L163,'G-3 Multipliers'!$L$3:$N$6,2,FALSE)=0,"Spatial Data Missing",VLOOKUP(L163,'G-3 Multipliers'!$L$3:$N$6,2,FALSE)))</f>
        <v/>
      </c>
      <c r="N163" s="368" t="str">
        <f>IF(L163="","",IF(VLOOKUP(L163,'G-3 Multipliers'!$L$3:$N$6,3,FALSE)=0,"Spatial Data Missing",VLOOKUP(L163,'G-3 Multipliers'!$L$3:$N$6,3,FALSE)))</f>
        <v/>
      </c>
      <c r="O163" s="362" t="str">
        <f t="shared" si="12"/>
        <v/>
      </c>
      <c r="P163" s="63"/>
      <c r="Q163" s="63"/>
      <c r="R163" s="370" t="str">
        <f t="shared" si="14"/>
        <v/>
      </c>
      <c r="S163" s="383" t="str">
        <f t="shared" si="15"/>
        <v/>
      </c>
      <c r="T163" s="384"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losses",P163&gt;=O163),"Low",VLOOKUP(F163,'G-3 Multipliers'!$A$2:$E$134,4,FALSE))))</f>
        <v/>
      </c>
      <c r="X163" s="386" t="str">
        <f>IFERROR(IF(E163="","",VLOOKUP(W163, 'G-3 Multipliers'!$P$2:$Q$6,2,FALSE)),"")</f>
        <v/>
      </c>
      <c r="Y163" s="390" t="str">
        <f t="shared" si="16"/>
        <v/>
      </c>
      <c r="Z163" s="194"/>
      <c r="AA163" s="195"/>
      <c r="AB163" s="120"/>
      <c r="AE163" s="40" t="str">
        <f t="shared" si="13"/>
        <v/>
      </c>
    </row>
    <row r="164" spans="1:31" x14ac:dyDescent="0.25">
      <c r="A164" s="35" t="str">
        <f>IFERROR(INDEX('G-8 Condition Look up'!$I$4:$I$135,MATCH(F164,'G-8 Condition Look up'!$A$4:$A$135,0)),"")</f>
        <v/>
      </c>
      <c r="C164" s="299" t="str">
        <f>IFERROR(INDEX('G-1 All Habitats'!$AG$3:$AG$17,MATCH(D164,'G-1 All Habitats'!$AF$3:$AF$17,0)),"")</f>
        <v/>
      </c>
      <c r="D164" s="54"/>
      <c r="E164" s="61"/>
      <c r="F164" s="296" t="str">
        <f>IFERROR(INDEX('G-1 All Habitats'!$B$3:$B$134,MATCH(E164,'G-1 All Habitats'!$A$3:$A$134,0)),"")</f>
        <v/>
      </c>
      <c r="G164" s="53"/>
      <c r="H164" s="362" t="str">
        <f>IF(F164="","",VLOOKUP(F164,'G-1 All Habitats'!$B$2:$M$134,10,FALSE))</f>
        <v/>
      </c>
      <c r="I164" s="363" t="str">
        <f>IFERROR(VLOOKUP(H164,'G-1 All Habitats'!$V$3:$W$7,2,FALSE),"")</f>
        <v/>
      </c>
      <c r="J164" s="54"/>
      <c r="K164" s="363" t="str">
        <f>IFERROR(INDEX('G-8 Condition Look up'!$A$3:$H$135,MATCH(F164,'G-8 Condition Look up'!$A$3:$A$135,0),MATCH(J164,'G-8 Condition Look up'!$A$3:$H$3,0)),"")</f>
        <v/>
      </c>
      <c r="L164" s="54"/>
      <c r="M164" s="370" t="str">
        <f>IF(L164="","",IF(VLOOKUP(L164,'G-3 Multipliers'!$L$3:$N$6,2,FALSE)=0,"Spatial Data Missing",VLOOKUP(L164,'G-3 Multipliers'!$L$3:$N$6,2,FALSE)))</f>
        <v/>
      </c>
      <c r="N164" s="368" t="str">
        <f>IF(L164="","",IF(VLOOKUP(L164,'G-3 Multipliers'!$L$3:$N$6,3,FALSE)=0,"Spatial Data Missing",VLOOKUP(L164,'G-3 Multipliers'!$L$3:$N$6,3,FALSE)))</f>
        <v/>
      </c>
      <c r="O164" s="362" t="str">
        <f t="shared" si="12"/>
        <v/>
      </c>
      <c r="P164" s="63"/>
      <c r="Q164" s="63"/>
      <c r="R164" s="370" t="str">
        <f t="shared" si="14"/>
        <v/>
      </c>
      <c r="S164" s="383" t="str">
        <f t="shared" si="15"/>
        <v/>
      </c>
      <c r="T164" s="384"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losses",P164&gt;=O164),"Low",VLOOKUP(F164,'G-3 Multipliers'!$A$2:$E$134,4,FALSE))))</f>
        <v/>
      </c>
      <c r="X164" s="386" t="str">
        <f>IFERROR(IF(E164="","",VLOOKUP(W164, 'G-3 Multipliers'!$P$2:$Q$6,2,FALSE)),"")</f>
        <v/>
      </c>
      <c r="Y164" s="390" t="str">
        <f t="shared" si="16"/>
        <v/>
      </c>
      <c r="Z164" s="194"/>
      <c r="AA164" s="195"/>
      <c r="AB164" s="120"/>
      <c r="AE164" s="40" t="str">
        <f t="shared" si="13"/>
        <v/>
      </c>
    </row>
    <row r="165" spans="1:31" x14ac:dyDescent="0.25">
      <c r="A165" s="35" t="str">
        <f>IFERROR(INDEX('G-8 Condition Look up'!$I$4:$I$135,MATCH(F165,'G-8 Condition Look up'!$A$4:$A$135,0)),"")</f>
        <v/>
      </c>
      <c r="C165" s="299" t="str">
        <f>IFERROR(INDEX('G-1 All Habitats'!$AG$3:$AG$17,MATCH(D165,'G-1 All Habitats'!$AF$3:$AF$17,0)),"")</f>
        <v/>
      </c>
      <c r="D165" s="54"/>
      <c r="E165" s="61"/>
      <c r="F165" s="296" t="str">
        <f>IFERROR(INDEX('G-1 All Habitats'!$B$3:$B$134,MATCH(E165,'G-1 All Habitats'!$A$3:$A$134,0)),"")</f>
        <v/>
      </c>
      <c r="G165" s="53"/>
      <c r="H165" s="362" t="str">
        <f>IF(F165="","",VLOOKUP(F165,'G-1 All Habitats'!$B$2:$M$134,10,FALSE))</f>
        <v/>
      </c>
      <c r="I165" s="363" t="str">
        <f>IFERROR(VLOOKUP(H165,'G-1 All Habitats'!$V$3:$W$7,2,FALSE),"")</f>
        <v/>
      </c>
      <c r="J165" s="54"/>
      <c r="K165" s="363" t="str">
        <f>IFERROR(INDEX('G-8 Condition Look up'!$A$3:$H$135,MATCH(F165,'G-8 Condition Look up'!$A$3:$A$135,0),MATCH(J165,'G-8 Condition Look up'!$A$3:$H$3,0)),"")</f>
        <v/>
      </c>
      <c r="L165" s="54"/>
      <c r="M165" s="370" t="str">
        <f>IF(L165="","",IF(VLOOKUP(L165,'G-3 Multipliers'!$L$3:$N$6,2,FALSE)=0,"Spatial Data Missing",VLOOKUP(L165,'G-3 Multipliers'!$L$3:$N$6,2,FALSE)))</f>
        <v/>
      </c>
      <c r="N165" s="368" t="str">
        <f>IF(L165="","",IF(VLOOKUP(L165,'G-3 Multipliers'!$L$3:$N$6,3,FALSE)=0,"Spatial Data Missing",VLOOKUP(L165,'G-3 Multipliers'!$L$3:$N$6,3,FALSE)))</f>
        <v/>
      </c>
      <c r="O165" s="362" t="str">
        <f t="shared" si="12"/>
        <v/>
      </c>
      <c r="P165" s="63"/>
      <c r="Q165" s="63"/>
      <c r="R165" s="370" t="str">
        <f t="shared" si="14"/>
        <v/>
      </c>
      <c r="S165" s="383" t="str">
        <f t="shared" si="15"/>
        <v/>
      </c>
      <c r="T165" s="384"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losses",P165&gt;=O165),"Low",VLOOKUP(F165,'G-3 Multipliers'!$A$2:$E$134,4,FALSE))))</f>
        <v/>
      </c>
      <c r="X165" s="386" t="str">
        <f>IFERROR(IF(E165="","",VLOOKUP(W165, 'G-3 Multipliers'!$P$2:$Q$6,2,FALSE)),"")</f>
        <v/>
      </c>
      <c r="Y165" s="390" t="str">
        <f t="shared" si="16"/>
        <v/>
      </c>
      <c r="Z165" s="194"/>
      <c r="AA165" s="195"/>
      <c r="AB165" s="120"/>
      <c r="AE165" s="40" t="str">
        <f t="shared" si="13"/>
        <v/>
      </c>
    </row>
    <row r="166" spans="1:31" x14ac:dyDescent="0.25">
      <c r="A166" s="35" t="str">
        <f>IFERROR(INDEX('G-8 Condition Look up'!$I$4:$I$135,MATCH(F166,'G-8 Condition Look up'!$A$4:$A$135,0)),"")</f>
        <v/>
      </c>
      <c r="C166" s="299" t="str">
        <f>IFERROR(INDEX('G-1 All Habitats'!$AG$3:$AG$17,MATCH(D166,'G-1 All Habitats'!$AF$3:$AF$17,0)),"")</f>
        <v/>
      </c>
      <c r="D166" s="54"/>
      <c r="E166" s="61"/>
      <c r="F166" s="296" t="str">
        <f>IFERROR(INDEX('G-1 All Habitats'!$B$3:$B$134,MATCH(E166,'G-1 All Habitats'!$A$3:$A$134,0)),"")</f>
        <v/>
      </c>
      <c r="G166" s="53"/>
      <c r="H166" s="362" t="str">
        <f>IF(F166="","",VLOOKUP(F166,'G-1 All Habitats'!$B$2:$M$134,10,FALSE))</f>
        <v/>
      </c>
      <c r="I166" s="363" t="str">
        <f>IFERROR(VLOOKUP(H166,'G-1 All Habitats'!$V$3:$W$7,2,FALSE),"")</f>
        <v/>
      </c>
      <c r="J166" s="54"/>
      <c r="K166" s="363" t="str">
        <f>IFERROR(INDEX('G-8 Condition Look up'!$A$3:$H$135,MATCH(F166,'G-8 Condition Look up'!$A$3:$A$135,0),MATCH(J166,'G-8 Condition Look up'!$A$3:$H$3,0)),"")</f>
        <v/>
      </c>
      <c r="L166" s="54"/>
      <c r="M166" s="370" t="str">
        <f>IF(L166="","",IF(VLOOKUP(L166,'G-3 Multipliers'!$L$3:$N$6,2,FALSE)=0,"Spatial Data Missing",VLOOKUP(L166,'G-3 Multipliers'!$L$3:$N$6,2,FALSE)))</f>
        <v/>
      </c>
      <c r="N166" s="368" t="str">
        <f>IF(L166="","",IF(VLOOKUP(L166,'G-3 Multipliers'!$L$3:$N$6,3,FALSE)=0,"Spatial Data Missing",VLOOKUP(L166,'G-3 Multipliers'!$L$3:$N$6,3,FALSE)))</f>
        <v/>
      </c>
      <c r="O166" s="362" t="str">
        <f t="shared" si="12"/>
        <v/>
      </c>
      <c r="P166" s="63"/>
      <c r="Q166" s="63"/>
      <c r="R166" s="370" t="str">
        <f t="shared" si="14"/>
        <v/>
      </c>
      <c r="S166" s="383" t="str">
        <f t="shared" si="15"/>
        <v/>
      </c>
      <c r="T166" s="384"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losses",P166&gt;=O166),"Low",VLOOKUP(F166,'G-3 Multipliers'!$A$2:$E$134,4,FALSE))))</f>
        <v/>
      </c>
      <c r="X166" s="386" t="str">
        <f>IFERROR(IF(E166="","",VLOOKUP(W166, 'G-3 Multipliers'!$P$2:$Q$6,2,FALSE)),"")</f>
        <v/>
      </c>
      <c r="Y166" s="390" t="str">
        <f t="shared" si="16"/>
        <v/>
      </c>
      <c r="Z166" s="194"/>
      <c r="AA166" s="195"/>
      <c r="AB166" s="120"/>
      <c r="AE166" s="40" t="str">
        <f t="shared" si="13"/>
        <v/>
      </c>
    </row>
    <row r="167" spans="1:31" x14ac:dyDescent="0.25">
      <c r="A167" s="35" t="str">
        <f>IFERROR(INDEX('G-8 Condition Look up'!$I$4:$I$135,MATCH(F167,'G-8 Condition Look up'!$A$4:$A$135,0)),"")</f>
        <v/>
      </c>
      <c r="C167" s="299" t="str">
        <f>IFERROR(INDEX('G-1 All Habitats'!$AG$3:$AG$17,MATCH(D167,'G-1 All Habitats'!$AF$3:$AF$17,0)),"")</f>
        <v/>
      </c>
      <c r="D167" s="54"/>
      <c r="E167" s="61"/>
      <c r="F167" s="296" t="str">
        <f>IFERROR(INDEX('G-1 All Habitats'!$B$3:$B$134,MATCH(E167,'G-1 All Habitats'!$A$3:$A$134,0)),"")</f>
        <v/>
      </c>
      <c r="G167" s="53"/>
      <c r="H167" s="362" t="str">
        <f>IF(F167="","",VLOOKUP(F167,'G-1 All Habitats'!$B$2:$M$134,10,FALSE))</f>
        <v/>
      </c>
      <c r="I167" s="363" t="str">
        <f>IFERROR(VLOOKUP(H167,'G-1 All Habitats'!$V$3:$W$7,2,FALSE),"")</f>
        <v/>
      </c>
      <c r="J167" s="54"/>
      <c r="K167" s="363" t="str">
        <f>IFERROR(INDEX('G-8 Condition Look up'!$A$3:$H$135,MATCH(F167,'G-8 Condition Look up'!$A$3:$A$135,0),MATCH(J167,'G-8 Condition Look up'!$A$3:$H$3,0)),"")</f>
        <v/>
      </c>
      <c r="L167" s="54"/>
      <c r="M167" s="370" t="str">
        <f>IF(L167="","",IF(VLOOKUP(L167,'G-3 Multipliers'!$L$3:$N$6,2,FALSE)=0,"Spatial Data Missing",VLOOKUP(L167,'G-3 Multipliers'!$L$3:$N$6,2,FALSE)))</f>
        <v/>
      </c>
      <c r="N167" s="368" t="str">
        <f>IF(L167="","",IF(VLOOKUP(L167,'G-3 Multipliers'!$L$3:$N$6,3,FALSE)=0,"Spatial Data Missing",VLOOKUP(L167,'G-3 Multipliers'!$L$3:$N$6,3,FALSE)))</f>
        <v/>
      </c>
      <c r="O167" s="362" t="str">
        <f t="shared" si="12"/>
        <v/>
      </c>
      <c r="P167" s="63"/>
      <c r="Q167" s="63"/>
      <c r="R167" s="370" t="str">
        <f t="shared" si="14"/>
        <v/>
      </c>
      <c r="S167" s="383" t="str">
        <f t="shared" si="15"/>
        <v/>
      </c>
      <c r="T167" s="384"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losses",P167&gt;=O167),"Low",VLOOKUP(F167,'G-3 Multipliers'!$A$2:$E$134,4,FALSE))))</f>
        <v/>
      </c>
      <c r="X167" s="386" t="str">
        <f>IFERROR(IF(E167="","",VLOOKUP(W167, 'G-3 Multipliers'!$P$2:$Q$6,2,FALSE)),"")</f>
        <v/>
      </c>
      <c r="Y167" s="390" t="str">
        <f t="shared" si="16"/>
        <v/>
      </c>
      <c r="Z167" s="194"/>
      <c r="AA167" s="195"/>
      <c r="AB167" s="120"/>
      <c r="AE167" s="40" t="str">
        <f t="shared" si="13"/>
        <v/>
      </c>
    </row>
    <row r="168" spans="1:31" x14ac:dyDescent="0.25">
      <c r="A168" s="35" t="str">
        <f>IFERROR(INDEX('G-8 Condition Look up'!$I$4:$I$135,MATCH(F168,'G-8 Condition Look up'!$A$4:$A$135,0)),"")</f>
        <v/>
      </c>
      <c r="C168" s="299" t="str">
        <f>IFERROR(INDEX('G-1 All Habitats'!$AG$3:$AG$17,MATCH(D168,'G-1 All Habitats'!$AF$3:$AF$17,0)),"")</f>
        <v/>
      </c>
      <c r="D168" s="54"/>
      <c r="E168" s="61"/>
      <c r="F168" s="296" t="str">
        <f>IFERROR(INDEX('G-1 All Habitats'!$B$3:$B$134,MATCH(E168,'G-1 All Habitats'!$A$3:$A$134,0)),"")</f>
        <v/>
      </c>
      <c r="G168" s="53"/>
      <c r="H168" s="362" t="str">
        <f>IF(F168="","",VLOOKUP(F168,'G-1 All Habitats'!$B$2:$M$134,10,FALSE))</f>
        <v/>
      </c>
      <c r="I168" s="363" t="str">
        <f>IFERROR(VLOOKUP(H168,'G-1 All Habitats'!$V$3:$W$7,2,FALSE),"")</f>
        <v/>
      </c>
      <c r="J168" s="54"/>
      <c r="K168" s="363" t="str">
        <f>IFERROR(INDEX('G-8 Condition Look up'!$A$3:$H$135,MATCH(F168,'G-8 Condition Look up'!$A$3:$A$135,0),MATCH(J168,'G-8 Condition Look up'!$A$3:$H$3,0)),"")</f>
        <v/>
      </c>
      <c r="L168" s="54"/>
      <c r="M168" s="370" t="str">
        <f>IF(L168="","",IF(VLOOKUP(L168,'G-3 Multipliers'!$L$3:$N$6,2,FALSE)=0,"Spatial Data Missing",VLOOKUP(L168,'G-3 Multipliers'!$L$3:$N$6,2,FALSE)))</f>
        <v/>
      </c>
      <c r="N168" s="368" t="str">
        <f>IF(L168="","",IF(VLOOKUP(L168,'G-3 Multipliers'!$L$3:$N$6,3,FALSE)=0,"Spatial Data Missing",VLOOKUP(L168,'G-3 Multipliers'!$L$3:$N$6,3,FALSE)))</f>
        <v/>
      </c>
      <c r="O168" s="362" t="str">
        <f t="shared" si="12"/>
        <v/>
      </c>
      <c r="P168" s="63"/>
      <c r="Q168" s="63"/>
      <c r="R168" s="370" t="str">
        <f t="shared" si="14"/>
        <v/>
      </c>
      <c r="S168" s="383" t="str">
        <f t="shared" si="15"/>
        <v/>
      </c>
      <c r="T168" s="384"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losses",P168&gt;=O168),"Low",VLOOKUP(F168,'G-3 Multipliers'!$A$2:$E$134,4,FALSE))))</f>
        <v/>
      </c>
      <c r="X168" s="386" t="str">
        <f>IFERROR(IF(E168="","",VLOOKUP(W168, 'G-3 Multipliers'!$P$2:$Q$6,2,FALSE)),"")</f>
        <v/>
      </c>
      <c r="Y168" s="390" t="str">
        <f t="shared" si="16"/>
        <v/>
      </c>
      <c r="Z168" s="194"/>
      <c r="AA168" s="195"/>
      <c r="AB168" s="120"/>
      <c r="AE168" s="40" t="str">
        <f t="shared" si="13"/>
        <v/>
      </c>
    </row>
    <row r="169" spans="1:31" x14ac:dyDescent="0.25">
      <c r="A169" s="35" t="str">
        <f>IFERROR(INDEX('G-8 Condition Look up'!$I$4:$I$135,MATCH(F169,'G-8 Condition Look up'!$A$4:$A$135,0)),"")</f>
        <v/>
      </c>
      <c r="C169" s="299" t="str">
        <f>IFERROR(INDEX('G-1 All Habitats'!$AG$3:$AG$17,MATCH(D169,'G-1 All Habitats'!$AF$3:$AF$17,0)),"")</f>
        <v/>
      </c>
      <c r="D169" s="54"/>
      <c r="E169" s="61"/>
      <c r="F169" s="296" t="str">
        <f>IFERROR(INDEX('G-1 All Habitats'!$B$3:$B$134,MATCH(E169,'G-1 All Habitats'!$A$3:$A$134,0)),"")</f>
        <v/>
      </c>
      <c r="G169" s="53"/>
      <c r="H169" s="362" t="str">
        <f>IF(F169="","",VLOOKUP(F169,'G-1 All Habitats'!$B$2:$M$134,10,FALSE))</f>
        <v/>
      </c>
      <c r="I169" s="363" t="str">
        <f>IFERROR(VLOOKUP(H169,'G-1 All Habitats'!$V$3:$W$7,2,FALSE),"")</f>
        <v/>
      </c>
      <c r="J169" s="54"/>
      <c r="K169" s="363" t="str">
        <f>IFERROR(INDEX('G-8 Condition Look up'!$A$3:$H$135,MATCH(F169,'G-8 Condition Look up'!$A$3:$A$135,0),MATCH(J169,'G-8 Condition Look up'!$A$3:$H$3,0)),"")</f>
        <v/>
      </c>
      <c r="L169" s="54"/>
      <c r="M169" s="370" t="str">
        <f>IF(L169="","",IF(VLOOKUP(L169,'G-3 Multipliers'!$L$3:$N$6,2,FALSE)=0,"Spatial Data Missing",VLOOKUP(L169,'G-3 Multipliers'!$L$3:$N$6,2,FALSE)))</f>
        <v/>
      </c>
      <c r="N169" s="368" t="str">
        <f>IF(L169="","",IF(VLOOKUP(L169,'G-3 Multipliers'!$L$3:$N$6,3,FALSE)=0,"Spatial Data Missing",VLOOKUP(L169,'G-3 Multipliers'!$L$3:$N$6,3,FALSE)))</f>
        <v/>
      </c>
      <c r="O169" s="362" t="str">
        <f t="shared" si="12"/>
        <v/>
      </c>
      <c r="P169" s="63"/>
      <c r="Q169" s="63"/>
      <c r="R169" s="370" t="str">
        <f t="shared" si="14"/>
        <v/>
      </c>
      <c r="S169" s="383" t="str">
        <f t="shared" si="15"/>
        <v/>
      </c>
      <c r="T169" s="384"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losses",P169&gt;=O169),"Low",VLOOKUP(F169,'G-3 Multipliers'!$A$2:$E$134,4,FALSE))))</f>
        <v/>
      </c>
      <c r="X169" s="386" t="str">
        <f>IFERROR(IF(E169="","",VLOOKUP(W169, 'G-3 Multipliers'!$P$2:$Q$6,2,FALSE)),"")</f>
        <v/>
      </c>
      <c r="Y169" s="390" t="str">
        <f t="shared" si="16"/>
        <v/>
      </c>
      <c r="Z169" s="194"/>
      <c r="AA169" s="195"/>
      <c r="AB169" s="120"/>
      <c r="AE169" s="40" t="str">
        <f t="shared" si="13"/>
        <v/>
      </c>
    </row>
    <row r="170" spans="1:31" x14ac:dyDescent="0.25">
      <c r="A170" s="35" t="str">
        <f>IFERROR(INDEX('G-8 Condition Look up'!$I$4:$I$135,MATCH(F170,'G-8 Condition Look up'!$A$4:$A$135,0)),"")</f>
        <v/>
      </c>
      <c r="C170" s="299" t="str">
        <f>IFERROR(INDEX('G-1 All Habitats'!$AG$3:$AG$17,MATCH(D170,'G-1 All Habitats'!$AF$3:$AF$17,0)),"")</f>
        <v/>
      </c>
      <c r="D170" s="54"/>
      <c r="E170" s="61"/>
      <c r="F170" s="296" t="str">
        <f>IFERROR(INDEX('G-1 All Habitats'!$B$3:$B$134,MATCH(E170,'G-1 All Habitats'!$A$3:$A$134,0)),"")</f>
        <v/>
      </c>
      <c r="G170" s="53"/>
      <c r="H170" s="362" t="str">
        <f>IF(F170="","",VLOOKUP(F170,'G-1 All Habitats'!$B$2:$M$134,10,FALSE))</f>
        <v/>
      </c>
      <c r="I170" s="363" t="str">
        <f>IFERROR(VLOOKUP(H170,'G-1 All Habitats'!$V$3:$W$7,2,FALSE),"")</f>
        <v/>
      </c>
      <c r="J170" s="54"/>
      <c r="K170" s="363" t="str">
        <f>IFERROR(INDEX('G-8 Condition Look up'!$A$3:$H$135,MATCH(F170,'G-8 Condition Look up'!$A$3:$A$135,0),MATCH(J170,'G-8 Condition Look up'!$A$3:$H$3,0)),"")</f>
        <v/>
      </c>
      <c r="L170" s="54"/>
      <c r="M170" s="370" t="str">
        <f>IF(L170="","",IF(VLOOKUP(L170,'G-3 Multipliers'!$L$3:$N$6,2,FALSE)=0,"Spatial Data Missing",VLOOKUP(L170,'G-3 Multipliers'!$L$3:$N$6,2,FALSE)))</f>
        <v/>
      </c>
      <c r="N170" s="368" t="str">
        <f>IF(L170="","",IF(VLOOKUP(L170,'G-3 Multipliers'!$L$3:$N$6,3,FALSE)=0,"Spatial Data Missing",VLOOKUP(L170,'G-3 Multipliers'!$L$3:$N$6,3,FALSE)))</f>
        <v/>
      </c>
      <c r="O170" s="362" t="str">
        <f t="shared" si="12"/>
        <v/>
      </c>
      <c r="P170" s="63"/>
      <c r="Q170" s="63"/>
      <c r="R170" s="370" t="str">
        <f t="shared" si="14"/>
        <v/>
      </c>
      <c r="S170" s="383" t="str">
        <f t="shared" si="15"/>
        <v/>
      </c>
      <c r="T170" s="384"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losses",P170&gt;=O170),"Low",VLOOKUP(F170,'G-3 Multipliers'!$A$2:$E$134,4,FALSE))))</f>
        <v/>
      </c>
      <c r="X170" s="386" t="str">
        <f>IFERROR(IF(E170="","",VLOOKUP(W170, 'G-3 Multipliers'!$P$2:$Q$6,2,FALSE)),"")</f>
        <v/>
      </c>
      <c r="Y170" s="390" t="str">
        <f t="shared" si="16"/>
        <v/>
      </c>
      <c r="Z170" s="194"/>
      <c r="AA170" s="195"/>
      <c r="AB170" s="120"/>
      <c r="AE170" s="40" t="str">
        <f t="shared" si="13"/>
        <v/>
      </c>
    </row>
    <row r="171" spans="1:31" x14ac:dyDescent="0.25">
      <c r="A171" s="35" t="str">
        <f>IFERROR(INDEX('G-8 Condition Look up'!$I$4:$I$135,MATCH(F171,'G-8 Condition Look up'!$A$4:$A$135,0)),"")</f>
        <v/>
      </c>
      <c r="C171" s="299" t="str">
        <f>IFERROR(INDEX('G-1 All Habitats'!$AG$3:$AG$17,MATCH(D171,'G-1 All Habitats'!$AF$3:$AF$17,0)),"")</f>
        <v/>
      </c>
      <c r="D171" s="54"/>
      <c r="E171" s="61"/>
      <c r="F171" s="296" t="str">
        <f>IFERROR(INDEX('G-1 All Habitats'!$B$3:$B$134,MATCH(E171,'G-1 All Habitats'!$A$3:$A$134,0)),"")</f>
        <v/>
      </c>
      <c r="G171" s="53"/>
      <c r="H171" s="362" t="str">
        <f>IF(F171="","",VLOOKUP(F171,'G-1 All Habitats'!$B$2:$M$134,10,FALSE))</f>
        <v/>
      </c>
      <c r="I171" s="363" t="str">
        <f>IFERROR(VLOOKUP(H171,'G-1 All Habitats'!$V$3:$W$7,2,FALSE),"")</f>
        <v/>
      </c>
      <c r="J171" s="54"/>
      <c r="K171" s="363" t="str">
        <f>IFERROR(INDEX('G-8 Condition Look up'!$A$3:$H$135,MATCH(F171,'G-8 Condition Look up'!$A$3:$A$135,0),MATCH(J171,'G-8 Condition Look up'!$A$3:$H$3,0)),"")</f>
        <v/>
      </c>
      <c r="L171" s="54"/>
      <c r="M171" s="370" t="str">
        <f>IF(L171="","",IF(VLOOKUP(L171,'G-3 Multipliers'!$L$3:$N$6,2,FALSE)=0,"Spatial Data Missing",VLOOKUP(L171,'G-3 Multipliers'!$L$3:$N$6,2,FALSE)))</f>
        <v/>
      </c>
      <c r="N171" s="368" t="str">
        <f>IF(L171="","",IF(VLOOKUP(L171,'G-3 Multipliers'!$L$3:$N$6,3,FALSE)=0,"Spatial Data Missing",VLOOKUP(L171,'G-3 Multipliers'!$L$3:$N$6,3,FALSE)))</f>
        <v/>
      </c>
      <c r="O171" s="362" t="str">
        <f t="shared" si="12"/>
        <v/>
      </c>
      <c r="P171" s="63"/>
      <c r="Q171" s="63"/>
      <c r="R171" s="370" t="str">
        <f t="shared" si="14"/>
        <v/>
      </c>
      <c r="S171" s="383" t="str">
        <f t="shared" si="15"/>
        <v/>
      </c>
      <c r="T171" s="384"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losses",P171&gt;=O171),"Low",VLOOKUP(F171,'G-3 Multipliers'!$A$2:$E$134,4,FALSE))))</f>
        <v/>
      </c>
      <c r="X171" s="386" t="str">
        <f>IFERROR(IF(E171="","",VLOOKUP(W171, 'G-3 Multipliers'!$P$2:$Q$6,2,FALSE)),"")</f>
        <v/>
      </c>
      <c r="Y171" s="390" t="str">
        <f t="shared" si="16"/>
        <v/>
      </c>
      <c r="Z171" s="194"/>
      <c r="AA171" s="195"/>
      <c r="AB171" s="120"/>
      <c r="AE171" s="40" t="str">
        <f t="shared" si="13"/>
        <v/>
      </c>
    </row>
    <row r="172" spans="1:31" x14ac:dyDescent="0.25">
      <c r="A172" s="35" t="str">
        <f>IFERROR(INDEX('G-8 Condition Look up'!$I$4:$I$135,MATCH(F172,'G-8 Condition Look up'!$A$4:$A$135,0)),"")</f>
        <v/>
      </c>
      <c r="C172" s="299" t="str">
        <f>IFERROR(INDEX('G-1 All Habitats'!$AG$3:$AG$17,MATCH(D172,'G-1 All Habitats'!$AF$3:$AF$17,0)),"")</f>
        <v/>
      </c>
      <c r="D172" s="54"/>
      <c r="E172" s="61"/>
      <c r="F172" s="296" t="str">
        <f>IFERROR(INDEX('G-1 All Habitats'!$B$3:$B$134,MATCH(E172,'G-1 All Habitats'!$A$3:$A$134,0)),"")</f>
        <v/>
      </c>
      <c r="G172" s="53"/>
      <c r="H172" s="362" t="str">
        <f>IF(F172="","",VLOOKUP(F172,'G-1 All Habitats'!$B$2:$M$134,10,FALSE))</f>
        <v/>
      </c>
      <c r="I172" s="363" t="str">
        <f>IFERROR(VLOOKUP(H172,'G-1 All Habitats'!$V$3:$W$7,2,FALSE),"")</f>
        <v/>
      </c>
      <c r="J172" s="54"/>
      <c r="K172" s="363" t="str">
        <f>IFERROR(INDEX('G-8 Condition Look up'!$A$3:$H$135,MATCH(F172,'G-8 Condition Look up'!$A$3:$A$135,0),MATCH(J172,'G-8 Condition Look up'!$A$3:$H$3,0)),"")</f>
        <v/>
      </c>
      <c r="L172" s="54"/>
      <c r="M172" s="370" t="str">
        <f>IF(L172="","",IF(VLOOKUP(L172,'G-3 Multipliers'!$L$3:$N$6,2,FALSE)=0,"Spatial Data Missing",VLOOKUP(L172,'G-3 Multipliers'!$L$3:$N$6,2,FALSE)))</f>
        <v/>
      </c>
      <c r="N172" s="368" t="str">
        <f>IF(L172="","",IF(VLOOKUP(L172,'G-3 Multipliers'!$L$3:$N$6,3,FALSE)=0,"Spatial Data Missing",VLOOKUP(L172,'G-3 Multipliers'!$L$3:$N$6,3,FALSE)))</f>
        <v/>
      </c>
      <c r="O172" s="362" t="str">
        <f t="shared" si="12"/>
        <v/>
      </c>
      <c r="P172" s="63"/>
      <c r="Q172" s="63"/>
      <c r="R172" s="370" t="str">
        <f t="shared" si="14"/>
        <v/>
      </c>
      <c r="S172" s="383" t="str">
        <f t="shared" si="15"/>
        <v/>
      </c>
      <c r="T172" s="384"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losses",P172&gt;=O172),"Low",VLOOKUP(F172,'G-3 Multipliers'!$A$2:$E$134,4,FALSE))))</f>
        <v/>
      </c>
      <c r="X172" s="386" t="str">
        <f>IFERROR(IF(E172="","",VLOOKUP(W172, 'G-3 Multipliers'!$P$2:$Q$6,2,FALSE)),"")</f>
        <v/>
      </c>
      <c r="Y172" s="390" t="str">
        <f t="shared" si="16"/>
        <v/>
      </c>
      <c r="Z172" s="194"/>
      <c r="AA172" s="195"/>
      <c r="AB172" s="120"/>
      <c r="AE172" s="40" t="str">
        <f t="shared" si="13"/>
        <v/>
      </c>
    </row>
    <row r="173" spans="1:31" x14ac:dyDescent="0.25">
      <c r="A173" s="35" t="str">
        <f>IFERROR(INDEX('G-8 Condition Look up'!$I$4:$I$135,MATCH(F173,'G-8 Condition Look up'!$A$4:$A$135,0)),"")</f>
        <v/>
      </c>
      <c r="C173" s="299" t="str">
        <f>IFERROR(INDEX('G-1 All Habitats'!$AG$3:$AG$17,MATCH(D173,'G-1 All Habitats'!$AF$3:$AF$17,0)),"")</f>
        <v/>
      </c>
      <c r="D173" s="54"/>
      <c r="E173" s="61"/>
      <c r="F173" s="296" t="str">
        <f>IFERROR(INDEX('G-1 All Habitats'!$B$3:$B$134,MATCH(E173,'G-1 All Habitats'!$A$3:$A$134,0)),"")</f>
        <v/>
      </c>
      <c r="G173" s="53"/>
      <c r="H173" s="362" t="str">
        <f>IF(F173="","",VLOOKUP(F173,'G-1 All Habitats'!$B$2:$M$134,10,FALSE))</f>
        <v/>
      </c>
      <c r="I173" s="363" t="str">
        <f>IFERROR(VLOOKUP(H173,'G-1 All Habitats'!$V$3:$W$7,2,FALSE),"")</f>
        <v/>
      </c>
      <c r="J173" s="54"/>
      <c r="K173" s="363" t="str">
        <f>IFERROR(INDEX('G-8 Condition Look up'!$A$3:$H$135,MATCH(F173,'G-8 Condition Look up'!$A$3:$A$135,0),MATCH(J173,'G-8 Condition Look up'!$A$3:$H$3,0)),"")</f>
        <v/>
      </c>
      <c r="L173" s="54"/>
      <c r="M173" s="370" t="str">
        <f>IF(L173="","",IF(VLOOKUP(L173,'G-3 Multipliers'!$L$3:$N$6,2,FALSE)=0,"Spatial Data Missing",VLOOKUP(L173,'G-3 Multipliers'!$L$3:$N$6,2,FALSE)))</f>
        <v/>
      </c>
      <c r="N173" s="368" t="str">
        <f>IF(L173="","",IF(VLOOKUP(L173,'G-3 Multipliers'!$L$3:$N$6,3,FALSE)=0,"Spatial Data Missing",VLOOKUP(L173,'G-3 Multipliers'!$L$3:$N$6,3,FALSE)))</f>
        <v/>
      </c>
      <c r="O173" s="362" t="str">
        <f t="shared" si="12"/>
        <v/>
      </c>
      <c r="P173" s="63"/>
      <c r="Q173" s="63"/>
      <c r="R173" s="370" t="str">
        <f t="shared" si="14"/>
        <v/>
      </c>
      <c r="S173" s="383" t="str">
        <f t="shared" si="15"/>
        <v/>
      </c>
      <c r="T173" s="384"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losses",P173&gt;=O173),"Low",VLOOKUP(F173,'G-3 Multipliers'!$A$2:$E$134,4,FALSE))))</f>
        <v/>
      </c>
      <c r="X173" s="386" t="str">
        <f>IFERROR(IF(E173="","",VLOOKUP(W173, 'G-3 Multipliers'!$P$2:$Q$6,2,FALSE)),"")</f>
        <v/>
      </c>
      <c r="Y173" s="390" t="str">
        <f t="shared" si="16"/>
        <v/>
      </c>
      <c r="Z173" s="194"/>
      <c r="AA173" s="195"/>
      <c r="AB173" s="120"/>
      <c r="AE173" s="40" t="str">
        <f t="shared" si="13"/>
        <v/>
      </c>
    </row>
    <row r="174" spans="1:31" x14ac:dyDescent="0.25">
      <c r="A174" s="35" t="str">
        <f>IFERROR(INDEX('G-8 Condition Look up'!$I$4:$I$135,MATCH(F174,'G-8 Condition Look up'!$A$4:$A$135,0)),"")</f>
        <v/>
      </c>
      <c r="C174" s="299" t="str">
        <f>IFERROR(INDEX('G-1 All Habitats'!$AG$3:$AG$17,MATCH(D174,'G-1 All Habitats'!$AF$3:$AF$17,0)),"")</f>
        <v/>
      </c>
      <c r="D174" s="54"/>
      <c r="E174" s="61"/>
      <c r="F174" s="296" t="str">
        <f>IFERROR(INDEX('G-1 All Habitats'!$B$3:$B$134,MATCH(E174,'G-1 All Habitats'!$A$3:$A$134,0)),"")</f>
        <v/>
      </c>
      <c r="G174" s="53"/>
      <c r="H174" s="362" t="str">
        <f>IF(F174="","",VLOOKUP(F174,'G-1 All Habitats'!$B$2:$M$134,10,FALSE))</f>
        <v/>
      </c>
      <c r="I174" s="363" t="str">
        <f>IFERROR(VLOOKUP(H174,'G-1 All Habitats'!$V$3:$W$7,2,FALSE),"")</f>
        <v/>
      </c>
      <c r="J174" s="54"/>
      <c r="K174" s="363" t="str">
        <f>IFERROR(INDEX('G-8 Condition Look up'!$A$3:$H$135,MATCH(F174,'G-8 Condition Look up'!$A$3:$A$135,0),MATCH(J174,'G-8 Condition Look up'!$A$3:$H$3,0)),"")</f>
        <v/>
      </c>
      <c r="L174" s="54"/>
      <c r="M174" s="370" t="str">
        <f>IF(L174="","",IF(VLOOKUP(L174,'G-3 Multipliers'!$L$3:$N$6,2,FALSE)=0,"Spatial Data Missing",VLOOKUP(L174,'G-3 Multipliers'!$L$3:$N$6,2,FALSE)))</f>
        <v/>
      </c>
      <c r="N174" s="368" t="str">
        <f>IF(L174="","",IF(VLOOKUP(L174,'G-3 Multipliers'!$L$3:$N$6,3,FALSE)=0,"Spatial Data Missing",VLOOKUP(L174,'G-3 Multipliers'!$L$3:$N$6,3,FALSE)))</f>
        <v/>
      </c>
      <c r="O174" s="362" t="str">
        <f t="shared" si="12"/>
        <v/>
      </c>
      <c r="P174" s="63"/>
      <c r="Q174" s="63"/>
      <c r="R174" s="370" t="str">
        <f t="shared" si="14"/>
        <v/>
      </c>
      <c r="S174" s="383" t="str">
        <f t="shared" si="15"/>
        <v/>
      </c>
      <c r="T174" s="384"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losses",P174&gt;=O174),"Low",VLOOKUP(F174,'G-3 Multipliers'!$A$2:$E$134,4,FALSE))))</f>
        <v/>
      </c>
      <c r="X174" s="386" t="str">
        <f>IFERROR(IF(E174="","",VLOOKUP(W174, 'G-3 Multipliers'!$P$2:$Q$6,2,FALSE)),"")</f>
        <v/>
      </c>
      <c r="Y174" s="390" t="str">
        <f t="shared" si="16"/>
        <v/>
      </c>
      <c r="Z174" s="194"/>
      <c r="AA174" s="195"/>
      <c r="AB174" s="120"/>
      <c r="AE174" s="40" t="str">
        <f t="shared" si="13"/>
        <v/>
      </c>
    </row>
    <row r="175" spans="1:31" x14ac:dyDescent="0.25">
      <c r="A175" s="35" t="str">
        <f>IFERROR(INDEX('G-8 Condition Look up'!$I$4:$I$135,MATCH(F175,'G-8 Condition Look up'!$A$4:$A$135,0)),"")</f>
        <v/>
      </c>
      <c r="C175" s="299" t="str">
        <f>IFERROR(INDEX('G-1 All Habitats'!$AG$3:$AG$17,MATCH(D175,'G-1 All Habitats'!$AF$3:$AF$17,0)),"")</f>
        <v/>
      </c>
      <c r="D175" s="54"/>
      <c r="E175" s="61"/>
      <c r="F175" s="296" t="str">
        <f>IFERROR(INDEX('G-1 All Habitats'!$B$3:$B$134,MATCH(E175,'G-1 All Habitats'!$A$3:$A$134,0)),"")</f>
        <v/>
      </c>
      <c r="G175" s="53"/>
      <c r="H175" s="362" t="str">
        <f>IF(F175="","",VLOOKUP(F175,'G-1 All Habitats'!$B$2:$M$134,10,FALSE))</f>
        <v/>
      </c>
      <c r="I175" s="363" t="str">
        <f>IFERROR(VLOOKUP(H175,'G-1 All Habitats'!$V$3:$W$7,2,FALSE),"")</f>
        <v/>
      </c>
      <c r="J175" s="54"/>
      <c r="K175" s="363" t="str">
        <f>IFERROR(INDEX('G-8 Condition Look up'!$A$3:$H$135,MATCH(F175,'G-8 Condition Look up'!$A$3:$A$135,0),MATCH(J175,'G-8 Condition Look up'!$A$3:$H$3,0)),"")</f>
        <v/>
      </c>
      <c r="L175" s="54"/>
      <c r="M175" s="370" t="str">
        <f>IF(L175="","",IF(VLOOKUP(L175,'G-3 Multipliers'!$L$3:$N$6,2,FALSE)=0,"Spatial Data Missing",VLOOKUP(L175,'G-3 Multipliers'!$L$3:$N$6,2,FALSE)))</f>
        <v/>
      </c>
      <c r="N175" s="368" t="str">
        <f>IF(L175="","",IF(VLOOKUP(L175,'G-3 Multipliers'!$L$3:$N$6,3,FALSE)=0,"Spatial Data Missing",VLOOKUP(L175,'G-3 Multipliers'!$L$3:$N$6,3,FALSE)))</f>
        <v/>
      </c>
      <c r="O175" s="362" t="str">
        <f t="shared" si="12"/>
        <v/>
      </c>
      <c r="P175" s="63"/>
      <c r="Q175" s="63"/>
      <c r="R175" s="370" t="str">
        <f t="shared" si="14"/>
        <v/>
      </c>
      <c r="S175" s="383" t="str">
        <f t="shared" si="15"/>
        <v/>
      </c>
      <c r="T175" s="384"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losses",P175&gt;=O175),"Low",VLOOKUP(F175,'G-3 Multipliers'!$A$2:$E$134,4,FALSE))))</f>
        <v/>
      </c>
      <c r="X175" s="386" t="str">
        <f>IFERROR(IF(E175="","",VLOOKUP(W175, 'G-3 Multipliers'!$P$2:$Q$6,2,FALSE)),"")</f>
        <v/>
      </c>
      <c r="Y175" s="390" t="str">
        <f t="shared" si="16"/>
        <v/>
      </c>
      <c r="Z175" s="194"/>
      <c r="AA175" s="195"/>
      <c r="AB175" s="120"/>
      <c r="AE175" s="40" t="str">
        <f t="shared" si="13"/>
        <v/>
      </c>
    </row>
    <row r="176" spans="1:31" x14ac:dyDescent="0.25">
      <c r="A176" s="35" t="str">
        <f>IFERROR(INDEX('G-8 Condition Look up'!$I$4:$I$135,MATCH(F176,'G-8 Condition Look up'!$A$4:$A$135,0)),"")</f>
        <v/>
      </c>
      <c r="C176" s="299" t="str">
        <f>IFERROR(INDEX('G-1 All Habitats'!$AG$3:$AG$17,MATCH(D176,'G-1 All Habitats'!$AF$3:$AF$17,0)),"")</f>
        <v/>
      </c>
      <c r="D176" s="54"/>
      <c r="E176" s="61"/>
      <c r="F176" s="296" t="str">
        <f>IFERROR(INDEX('G-1 All Habitats'!$B$3:$B$134,MATCH(E176,'G-1 All Habitats'!$A$3:$A$134,0)),"")</f>
        <v/>
      </c>
      <c r="G176" s="53"/>
      <c r="H176" s="362" t="str">
        <f>IF(F176="","",VLOOKUP(F176,'G-1 All Habitats'!$B$2:$M$134,10,FALSE))</f>
        <v/>
      </c>
      <c r="I176" s="363" t="str">
        <f>IFERROR(VLOOKUP(H176,'G-1 All Habitats'!$V$3:$W$7,2,FALSE),"")</f>
        <v/>
      </c>
      <c r="J176" s="54"/>
      <c r="K176" s="363" t="str">
        <f>IFERROR(INDEX('G-8 Condition Look up'!$A$3:$H$135,MATCH(F176,'G-8 Condition Look up'!$A$3:$A$135,0),MATCH(J176,'G-8 Condition Look up'!$A$3:$H$3,0)),"")</f>
        <v/>
      </c>
      <c r="L176" s="54"/>
      <c r="M176" s="370" t="str">
        <f>IF(L176="","",IF(VLOOKUP(L176,'G-3 Multipliers'!$L$3:$N$6,2,FALSE)=0,"Spatial Data Missing",VLOOKUP(L176,'G-3 Multipliers'!$L$3:$N$6,2,FALSE)))</f>
        <v/>
      </c>
      <c r="N176" s="368" t="str">
        <f>IF(L176="","",IF(VLOOKUP(L176,'G-3 Multipliers'!$L$3:$N$6,3,FALSE)=0,"Spatial Data Missing",VLOOKUP(L176,'G-3 Multipliers'!$L$3:$N$6,3,FALSE)))</f>
        <v/>
      </c>
      <c r="O176" s="362" t="str">
        <f t="shared" si="12"/>
        <v/>
      </c>
      <c r="P176" s="63"/>
      <c r="Q176" s="63"/>
      <c r="R176" s="370" t="str">
        <f t="shared" si="14"/>
        <v/>
      </c>
      <c r="S176" s="383" t="str">
        <f t="shared" si="15"/>
        <v/>
      </c>
      <c r="T176" s="384"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losses",P176&gt;=O176),"Low",VLOOKUP(F176,'G-3 Multipliers'!$A$2:$E$134,4,FALSE))))</f>
        <v/>
      </c>
      <c r="X176" s="386" t="str">
        <f>IFERROR(IF(E176="","",VLOOKUP(W176, 'G-3 Multipliers'!$P$2:$Q$6,2,FALSE)),"")</f>
        <v/>
      </c>
      <c r="Y176" s="390" t="str">
        <f t="shared" si="16"/>
        <v/>
      </c>
      <c r="Z176" s="194"/>
      <c r="AA176" s="195"/>
      <c r="AB176" s="120"/>
      <c r="AE176" s="40" t="str">
        <f t="shared" si="13"/>
        <v/>
      </c>
    </row>
    <row r="177" spans="1:31" x14ac:dyDescent="0.25">
      <c r="A177" s="35" t="str">
        <f>IFERROR(INDEX('G-8 Condition Look up'!$I$4:$I$135,MATCH(F177,'G-8 Condition Look up'!$A$4:$A$135,0)),"")</f>
        <v/>
      </c>
      <c r="C177" s="299" t="str">
        <f>IFERROR(INDEX('G-1 All Habitats'!$AG$3:$AG$17,MATCH(D177,'G-1 All Habitats'!$AF$3:$AF$17,0)),"")</f>
        <v/>
      </c>
      <c r="D177" s="54"/>
      <c r="E177" s="61"/>
      <c r="F177" s="296" t="str">
        <f>IFERROR(INDEX('G-1 All Habitats'!$B$3:$B$134,MATCH(E177,'G-1 All Habitats'!$A$3:$A$134,0)),"")</f>
        <v/>
      </c>
      <c r="G177" s="53"/>
      <c r="H177" s="362" t="str">
        <f>IF(F177="","",VLOOKUP(F177,'G-1 All Habitats'!$B$2:$M$134,10,FALSE))</f>
        <v/>
      </c>
      <c r="I177" s="363" t="str">
        <f>IFERROR(VLOOKUP(H177,'G-1 All Habitats'!$V$3:$W$7,2,FALSE),"")</f>
        <v/>
      </c>
      <c r="J177" s="54"/>
      <c r="K177" s="363" t="str">
        <f>IFERROR(INDEX('G-8 Condition Look up'!$A$3:$H$135,MATCH(F177,'G-8 Condition Look up'!$A$3:$A$135,0),MATCH(J177,'G-8 Condition Look up'!$A$3:$H$3,0)),"")</f>
        <v/>
      </c>
      <c r="L177" s="54"/>
      <c r="M177" s="370" t="str">
        <f>IF(L177="","",IF(VLOOKUP(L177,'G-3 Multipliers'!$L$3:$N$6,2,FALSE)=0,"Spatial Data Missing",VLOOKUP(L177,'G-3 Multipliers'!$L$3:$N$6,2,FALSE)))</f>
        <v/>
      </c>
      <c r="N177" s="368" t="str">
        <f>IF(L177="","",IF(VLOOKUP(L177,'G-3 Multipliers'!$L$3:$N$6,3,FALSE)=0,"Spatial Data Missing",VLOOKUP(L177,'G-3 Multipliers'!$L$3:$N$6,3,FALSE)))</f>
        <v/>
      </c>
      <c r="O177" s="362" t="str">
        <f t="shared" si="12"/>
        <v/>
      </c>
      <c r="P177" s="63"/>
      <c r="Q177" s="63"/>
      <c r="R177" s="370" t="str">
        <f t="shared" si="14"/>
        <v/>
      </c>
      <c r="S177" s="383" t="str">
        <f t="shared" si="15"/>
        <v/>
      </c>
      <c r="T177" s="384"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losses",P177&gt;=O177),"Low",VLOOKUP(F177,'G-3 Multipliers'!$A$2:$E$134,4,FALSE))))</f>
        <v/>
      </c>
      <c r="X177" s="386" t="str">
        <f>IFERROR(IF(E177="","",VLOOKUP(W177, 'G-3 Multipliers'!$P$2:$Q$6,2,FALSE)),"")</f>
        <v/>
      </c>
      <c r="Y177" s="390" t="str">
        <f t="shared" si="16"/>
        <v/>
      </c>
      <c r="Z177" s="194"/>
      <c r="AA177" s="195"/>
      <c r="AB177" s="120"/>
      <c r="AE177" s="40" t="str">
        <f t="shared" si="13"/>
        <v/>
      </c>
    </row>
    <row r="178" spans="1:31" x14ac:dyDescent="0.25">
      <c r="A178" s="35" t="str">
        <f>IFERROR(INDEX('G-8 Condition Look up'!$I$4:$I$135,MATCH(F178,'G-8 Condition Look up'!$A$4:$A$135,0)),"")</f>
        <v/>
      </c>
      <c r="C178" s="299" t="str">
        <f>IFERROR(INDEX('G-1 All Habitats'!$AG$3:$AG$17,MATCH(D178,'G-1 All Habitats'!$AF$3:$AF$17,0)),"")</f>
        <v/>
      </c>
      <c r="D178" s="54"/>
      <c r="E178" s="61"/>
      <c r="F178" s="296" t="str">
        <f>IFERROR(INDEX('G-1 All Habitats'!$B$3:$B$134,MATCH(E178,'G-1 All Habitats'!$A$3:$A$134,0)),"")</f>
        <v/>
      </c>
      <c r="G178" s="53"/>
      <c r="H178" s="362" t="str">
        <f>IF(F178="","",VLOOKUP(F178,'G-1 All Habitats'!$B$2:$M$134,10,FALSE))</f>
        <v/>
      </c>
      <c r="I178" s="363" t="str">
        <f>IFERROR(VLOOKUP(H178,'G-1 All Habitats'!$V$3:$W$7,2,FALSE),"")</f>
        <v/>
      </c>
      <c r="J178" s="54"/>
      <c r="K178" s="363" t="str">
        <f>IFERROR(INDEX('G-8 Condition Look up'!$A$3:$H$135,MATCH(F178,'G-8 Condition Look up'!$A$3:$A$135,0),MATCH(J178,'G-8 Condition Look up'!$A$3:$H$3,0)),"")</f>
        <v/>
      </c>
      <c r="L178" s="54"/>
      <c r="M178" s="370" t="str">
        <f>IF(L178="","",IF(VLOOKUP(L178,'G-3 Multipliers'!$L$3:$N$6,2,FALSE)=0,"Spatial Data Missing",VLOOKUP(L178,'G-3 Multipliers'!$L$3:$N$6,2,FALSE)))</f>
        <v/>
      </c>
      <c r="N178" s="368" t="str">
        <f>IF(L178="","",IF(VLOOKUP(L178,'G-3 Multipliers'!$L$3:$N$6,3,FALSE)=0,"Spatial Data Missing",VLOOKUP(L178,'G-3 Multipliers'!$L$3:$N$6,3,FALSE)))</f>
        <v/>
      </c>
      <c r="O178" s="362" t="str">
        <f t="shared" si="12"/>
        <v/>
      </c>
      <c r="P178" s="63"/>
      <c r="Q178" s="63"/>
      <c r="R178" s="370" t="str">
        <f t="shared" si="14"/>
        <v/>
      </c>
      <c r="S178" s="383" t="str">
        <f t="shared" si="15"/>
        <v/>
      </c>
      <c r="T178" s="384"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losses",P178&gt;=O178),"Low",VLOOKUP(F178,'G-3 Multipliers'!$A$2:$E$134,4,FALSE))))</f>
        <v/>
      </c>
      <c r="X178" s="386" t="str">
        <f>IFERROR(IF(E178="","",VLOOKUP(W178, 'G-3 Multipliers'!$P$2:$Q$6,2,FALSE)),"")</f>
        <v/>
      </c>
      <c r="Y178" s="390" t="str">
        <f t="shared" si="16"/>
        <v/>
      </c>
      <c r="Z178" s="194"/>
      <c r="AA178" s="195"/>
      <c r="AB178" s="120"/>
      <c r="AE178" s="40" t="str">
        <f t="shared" si="13"/>
        <v/>
      </c>
    </row>
    <row r="179" spans="1:31" x14ac:dyDescent="0.25">
      <c r="A179" s="35" t="str">
        <f>IFERROR(INDEX('G-8 Condition Look up'!$I$4:$I$135,MATCH(F179,'G-8 Condition Look up'!$A$4:$A$135,0)),"")</f>
        <v/>
      </c>
      <c r="C179" s="299" t="str">
        <f>IFERROR(INDEX('G-1 All Habitats'!$AG$3:$AG$17,MATCH(D179,'G-1 All Habitats'!$AF$3:$AF$17,0)),"")</f>
        <v/>
      </c>
      <c r="D179" s="54"/>
      <c r="E179" s="61"/>
      <c r="F179" s="296" t="str">
        <f>IFERROR(INDEX('G-1 All Habitats'!$B$3:$B$134,MATCH(E179,'G-1 All Habitats'!$A$3:$A$134,0)),"")</f>
        <v/>
      </c>
      <c r="G179" s="53"/>
      <c r="H179" s="362" t="str">
        <f>IF(F179="","",VLOOKUP(F179,'G-1 All Habitats'!$B$2:$M$134,10,FALSE))</f>
        <v/>
      </c>
      <c r="I179" s="363" t="str">
        <f>IFERROR(VLOOKUP(H179,'G-1 All Habitats'!$V$3:$W$7,2,FALSE),"")</f>
        <v/>
      </c>
      <c r="J179" s="54"/>
      <c r="K179" s="363" t="str">
        <f>IFERROR(INDEX('G-8 Condition Look up'!$A$3:$H$135,MATCH(F179,'G-8 Condition Look up'!$A$3:$A$135,0),MATCH(J179,'G-8 Condition Look up'!$A$3:$H$3,0)),"")</f>
        <v/>
      </c>
      <c r="L179" s="54"/>
      <c r="M179" s="370" t="str">
        <f>IF(L179="","",IF(VLOOKUP(L179,'G-3 Multipliers'!$L$3:$N$6,2,FALSE)=0,"Spatial Data Missing",VLOOKUP(L179,'G-3 Multipliers'!$L$3:$N$6,2,FALSE)))</f>
        <v/>
      </c>
      <c r="N179" s="368" t="str">
        <f>IF(L179="","",IF(VLOOKUP(L179,'G-3 Multipliers'!$L$3:$N$6,3,FALSE)=0,"Spatial Data Missing",VLOOKUP(L179,'G-3 Multipliers'!$L$3:$N$6,3,FALSE)))</f>
        <v/>
      </c>
      <c r="O179" s="362" t="str">
        <f t="shared" si="12"/>
        <v/>
      </c>
      <c r="P179" s="63"/>
      <c r="Q179" s="63"/>
      <c r="R179" s="370" t="str">
        <f t="shared" si="14"/>
        <v/>
      </c>
      <c r="S179" s="383" t="str">
        <f t="shared" si="15"/>
        <v/>
      </c>
      <c r="T179" s="384"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losses",P179&gt;=O179),"Low",VLOOKUP(F179,'G-3 Multipliers'!$A$2:$E$134,4,FALSE))))</f>
        <v/>
      </c>
      <c r="X179" s="386" t="str">
        <f>IFERROR(IF(E179="","",VLOOKUP(W179, 'G-3 Multipliers'!$P$2:$Q$6,2,FALSE)),"")</f>
        <v/>
      </c>
      <c r="Y179" s="390" t="str">
        <f t="shared" si="16"/>
        <v/>
      </c>
      <c r="Z179" s="194"/>
      <c r="AA179" s="195"/>
      <c r="AB179" s="120"/>
      <c r="AE179" s="40" t="str">
        <f t="shared" si="13"/>
        <v/>
      </c>
    </row>
    <row r="180" spans="1:31" x14ac:dyDescent="0.25">
      <c r="A180" s="35" t="str">
        <f>IFERROR(INDEX('G-8 Condition Look up'!$I$4:$I$135,MATCH(F180,'G-8 Condition Look up'!$A$4:$A$135,0)),"")</f>
        <v/>
      </c>
      <c r="C180" s="299" t="str">
        <f>IFERROR(INDEX('G-1 All Habitats'!$AG$3:$AG$17,MATCH(D180,'G-1 All Habitats'!$AF$3:$AF$17,0)),"")</f>
        <v/>
      </c>
      <c r="D180" s="54"/>
      <c r="E180" s="61"/>
      <c r="F180" s="296" t="str">
        <f>IFERROR(INDEX('G-1 All Habitats'!$B$3:$B$134,MATCH(E180,'G-1 All Habitats'!$A$3:$A$134,0)),"")</f>
        <v/>
      </c>
      <c r="G180" s="53"/>
      <c r="H180" s="362" t="str">
        <f>IF(F180="","",VLOOKUP(F180,'G-1 All Habitats'!$B$2:$M$134,10,FALSE))</f>
        <v/>
      </c>
      <c r="I180" s="363" t="str">
        <f>IFERROR(VLOOKUP(H180,'G-1 All Habitats'!$V$3:$W$7,2,FALSE),"")</f>
        <v/>
      </c>
      <c r="J180" s="54"/>
      <c r="K180" s="363" t="str">
        <f>IFERROR(INDEX('G-8 Condition Look up'!$A$3:$H$135,MATCH(F180,'G-8 Condition Look up'!$A$3:$A$135,0),MATCH(J180,'G-8 Condition Look up'!$A$3:$H$3,0)),"")</f>
        <v/>
      </c>
      <c r="L180" s="54"/>
      <c r="M180" s="370" t="str">
        <f>IF(L180="","",IF(VLOOKUP(L180,'G-3 Multipliers'!$L$3:$N$6,2,FALSE)=0,"Spatial Data Missing",VLOOKUP(L180,'G-3 Multipliers'!$L$3:$N$6,2,FALSE)))</f>
        <v/>
      </c>
      <c r="N180" s="368" t="str">
        <f>IF(L180="","",IF(VLOOKUP(L180,'G-3 Multipliers'!$L$3:$N$6,3,FALSE)=0,"Spatial Data Missing",VLOOKUP(L180,'G-3 Multipliers'!$L$3:$N$6,3,FALSE)))</f>
        <v/>
      </c>
      <c r="O180" s="362" t="str">
        <f t="shared" si="12"/>
        <v/>
      </c>
      <c r="P180" s="63"/>
      <c r="Q180" s="63"/>
      <c r="R180" s="370" t="str">
        <f t="shared" si="14"/>
        <v/>
      </c>
      <c r="S180" s="383" t="str">
        <f t="shared" si="15"/>
        <v/>
      </c>
      <c r="T180" s="384"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losses",P180&gt;=O180),"Low",VLOOKUP(F180,'G-3 Multipliers'!$A$2:$E$134,4,FALSE))))</f>
        <v/>
      </c>
      <c r="X180" s="386" t="str">
        <f>IFERROR(IF(E180="","",VLOOKUP(W180, 'G-3 Multipliers'!$P$2:$Q$6,2,FALSE)),"")</f>
        <v/>
      </c>
      <c r="Y180" s="390" t="str">
        <f t="shared" si="16"/>
        <v/>
      </c>
      <c r="Z180" s="194"/>
      <c r="AA180" s="195"/>
      <c r="AB180" s="120"/>
      <c r="AE180" s="40" t="str">
        <f t="shared" si="13"/>
        <v/>
      </c>
    </row>
    <row r="181" spans="1:31" x14ac:dyDescent="0.25">
      <c r="A181" s="35" t="str">
        <f>IFERROR(INDEX('G-8 Condition Look up'!$I$4:$I$135,MATCH(F181,'G-8 Condition Look up'!$A$4:$A$135,0)),"")</f>
        <v/>
      </c>
      <c r="C181" s="299" t="str">
        <f>IFERROR(INDEX('G-1 All Habitats'!$AG$3:$AG$17,MATCH(D181,'G-1 All Habitats'!$AF$3:$AF$17,0)),"")</f>
        <v/>
      </c>
      <c r="D181" s="54"/>
      <c r="E181" s="61"/>
      <c r="F181" s="296" t="str">
        <f>IFERROR(INDEX('G-1 All Habitats'!$B$3:$B$134,MATCH(E181,'G-1 All Habitats'!$A$3:$A$134,0)),"")</f>
        <v/>
      </c>
      <c r="G181" s="53"/>
      <c r="H181" s="362" t="str">
        <f>IF(F181="","",VLOOKUP(F181,'G-1 All Habitats'!$B$2:$M$134,10,FALSE))</f>
        <v/>
      </c>
      <c r="I181" s="363" t="str">
        <f>IFERROR(VLOOKUP(H181,'G-1 All Habitats'!$V$3:$W$7,2,FALSE),"")</f>
        <v/>
      </c>
      <c r="J181" s="54"/>
      <c r="K181" s="363" t="str">
        <f>IFERROR(INDEX('G-8 Condition Look up'!$A$3:$H$135,MATCH(F181,'G-8 Condition Look up'!$A$3:$A$135,0),MATCH(J181,'G-8 Condition Look up'!$A$3:$H$3,0)),"")</f>
        <v/>
      </c>
      <c r="L181" s="54"/>
      <c r="M181" s="370" t="str">
        <f>IF(L181="","",IF(VLOOKUP(L181,'G-3 Multipliers'!$L$3:$N$6,2,FALSE)=0,"Spatial Data Missing",VLOOKUP(L181,'G-3 Multipliers'!$L$3:$N$6,2,FALSE)))</f>
        <v/>
      </c>
      <c r="N181" s="368" t="str">
        <f>IF(L181="","",IF(VLOOKUP(L181,'G-3 Multipliers'!$L$3:$N$6,3,FALSE)=0,"Spatial Data Missing",VLOOKUP(L181,'G-3 Multipliers'!$L$3:$N$6,3,FALSE)))</f>
        <v/>
      </c>
      <c r="O181" s="362" t="str">
        <f t="shared" si="12"/>
        <v/>
      </c>
      <c r="P181" s="63"/>
      <c r="Q181" s="63"/>
      <c r="R181" s="370" t="str">
        <f t="shared" si="14"/>
        <v/>
      </c>
      <c r="S181" s="383" t="str">
        <f t="shared" si="15"/>
        <v/>
      </c>
      <c r="T181" s="384"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losses",P181&gt;=O181),"Low",VLOOKUP(F181,'G-3 Multipliers'!$A$2:$E$134,4,FALSE))))</f>
        <v/>
      </c>
      <c r="X181" s="386" t="str">
        <f>IFERROR(IF(E181="","",VLOOKUP(W181, 'G-3 Multipliers'!$P$2:$Q$6,2,FALSE)),"")</f>
        <v/>
      </c>
      <c r="Y181" s="390" t="str">
        <f t="shared" si="16"/>
        <v/>
      </c>
      <c r="Z181" s="194"/>
      <c r="AA181" s="195"/>
      <c r="AB181" s="120"/>
      <c r="AE181" s="40" t="str">
        <f t="shared" si="13"/>
        <v/>
      </c>
    </row>
    <row r="182" spans="1:31" x14ac:dyDescent="0.25">
      <c r="A182" s="35" t="str">
        <f>IFERROR(INDEX('G-8 Condition Look up'!$I$4:$I$135,MATCH(F182,'G-8 Condition Look up'!$A$4:$A$135,0)),"")</f>
        <v/>
      </c>
      <c r="C182" s="299" t="str">
        <f>IFERROR(INDEX('G-1 All Habitats'!$AG$3:$AG$17,MATCH(D182,'G-1 All Habitats'!$AF$3:$AF$17,0)),"")</f>
        <v/>
      </c>
      <c r="D182" s="54"/>
      <c r="E182" s="61"/>
      <c r="F182" s="296" t="str">
        <f>IFERROR(INDEX('G-1 All Habitats'!$B$3:$B$134,MATCH(E182,'G-1 All Habitats'!$A$3:$A$134,0)),"")</f>
        <v/>
      </c>
      <c r="G182" s="53"/>
      <c r="H182" s="362" t="str">
        <f>IF(F182="","",VLOOKUP(F182,'G-1 All Habitats'!$B$2:$M$134,10,FALSE))</f>
        <v/>
      </c>
      <c r="I182" s="363" t="str">
        <f>IFERROR(VLOOKUP(H182,'G-1 All Habitats'!$V$3:$W$7,2,FALSE),"")</f>
        <v/>
      </c>
      <c r="J182" s="54"/>
      <c r="K182" s="363" t="str">
        <f>IFERROR(INDEX('G-8 Condition Look up'!$A$3:$H$135,MATCH(F182,'G-8 Condition Look up'!$A$3:$A$135,0),MATCH(J182,'G-8 Condition Look up'!$A$3:$H$3,0)),"")</f>
        <v/>
      </c>
      <c r="L182" s="54"/>
      <c r="M182" s="370" t="str">
        <f>IF(L182="","",IF(VLOOKUP(L182,'G-3 Multipliers'!$L$3:$N$6,2,FALSE)=0,"Spatial Data Missing",VLOOKUP(L182,'G-3 Multipliers'!$L$3:$N$6,2,FALSE)))</f>
        <v/>
      </c>
      <c r="N182" s="368" t="str">
        <f>IF(L182="","",IF(VLOOKUP(L182,'G-3 Multipliers'!$L$3:$N$6,3,FALSE)=0,"Spatial Data Missing",VLOOKUP(L182,'G-3 Multipliers'!$L$3:$N$6,3,FALSE)))</f>
        <v/>
      </c>
      <c r="O182" s="362" t="str">
        <f t="shared" si="12"/>
        <v/>
      </c>
      <c r="P182" s="63"/>
      <c r="Q182" s="63"/>
      <c r="R182" s="370" t="str">
        <f t="shared" si="14"/>
        <v/>
      </c>
      <c r="S182" s="383" t="str">
        <f t="shared" si="15"/>
        <v/>
      </c>
      <c r="T182" s="384"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losses",P182&gt;=O182),"Low",VLOOKUP(F182,'G-3 Multipliers'!$A$2:$E$134,4,FALSE))))</f>
        <v/>
      </c>
      <c r="X182" s="386" t="str">
        <f>IFERROR(IF(E182="","",VLOOKUP(W182, 'G-3 Multipliers'!$P$2:$Q$6,2,FALSE)),"")</f>
        <v/>
      </c>
      <c r="Y182" s="390" t="str">
        <f t="shared" si="16"/>
        <v/>
      </c>
      <c r="Z182" s="194"/>
      <c r="AA182" s="195"/>
      <c r="AB182" s="120"/>
      <c r="AE182" s="40" t="str">
        <f t="shared" si="13"/>
        <v/>
      </c>
    </row>
    <row r="183" spans="1:31" x14ac:dyDescent="0.25">
      <c r="A183" s="35" t="str">
        <f>IFERROR(INDEX('G-8 Condition Look up'!$I$4:$I$135,MATCH(F183,'G-8 Condition Look up'!$A$4:$A$135,0)),"")</f>
        <v/>
      </c>
      <c r="C183" s="299" t="str">
        <f>IFERROR(INDEX('G-1 All Habitats'!$AG$3:$AG$17,MATCH(D183,'G-1 All Habitats'!$AF$3:$AF$17,0)),"")</f>
        <v/>
      </c>
      <c r="D183" s="54"/>
      <c r="E183" s="61"/>
      <c r="F183" s="296" t="str">
        <f>IFERROR(INDEX('G-1 All Habitats'!$B$3:$B$134,MATCH(E183,'G-1 All Habitats'!$A$3:$A$134,0)),"")</f>
        <v/>
      </c>
      <c r="G183" s="53"/>
      <c r="H183" s="362" t="str">
        <f>IF(F183="","",VLOOKUP(F183,'G-1 All Habitats'!$B$2:$M$134,10,FALSE))</f>
        <v/>
      </c>
      <c r="I183" s="363" t="str">
        <f>IFERROR(VLOOKUP(H183,'G-1 All Habitats'!$V$3:$W$7,2,FALSE),"")</f>
        <v/>
      </c>
      <c r="J183" s="54"/>
      <c r="K183" s="363" t="str">
        <f>IFERROR(INDEX('G-8 Condition Look up'!$A$3:$H$135,MATCH(F183,'G-8 Condition Look up'!$A$3:$A$135,0),MATCH(J183,'G-8 Condition Look up'!$A$3:$H$3,0)),"")</f>
        <v/>
      </c>
      <c r="L183" s="54"/>
      <c r="M183" s="370" t="str">
        <f>IF(L183="","",IF(VLOOKUP(L183,'G-3 Multipliers'!$L$3:$N$6,2,FALSE)=0,"Spatial Data Missing",VLOOKUP(L183,'G-3 Multipliers'!$L$3:$N$6,2,FALSE)))</f>
        <v/>
      </c>
      <c r="N183" s="368" t="str">
        <f>IF(L183="","",IF(VLOOKUP(L183,'G-3 Multipliers'!$L$3:$N$6,3,FALSE)=0,"Spatial Data Missing",VLOOKUP(L183,'G-3 Multipliers'!$L$3:$N$6,3,FALSE)))</f>
        <v/>
      </c>
      <c r="O183" s="362" t="str">
        <f t="shared" si="12"/>
        <v/>
      </c>
      <c r="P183" s="63"/>
      <c r="Q183" s="63"/>
      <c r="R183" s="370" t="str">
        <f t="shared" si="14"/>
        <v/>
      </c>
      <c r="S183" s="383" t="str">
        <f t="shared" si="15"/>
        <v/>
      </c>
      <c r="T183" s="384"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losses",P183&gt;=O183),"Low",VLOOKUP(F183,'G-3 Multipliers'!$A$2:$E$134,4,FALSE))))</f>
        <v/>
      </c>
      <c r="X183" s="386" t="str">
        <f>IFERROR(IF(E183="","",VLOOKUP(W183, 'G-3 Multipliers'!$P$2:$Q$6,2,FALSE)),"")</f>
        <v/>
      </c>
      <c r="Y183" s="390" t="str">
        <f t="shared" si="16"/>
        <v/>
      </c>
      <c r="Z183" s="194"/>
      <c r="AA183" s="195"/>
      <c r="AB183" s="120"/>
      <c r="AE183" s="40" t="str">
        <f t="shared" si="13"/>
        <v/>
      </c>
    </row>
    <row r="184" spans="1:31" x14ac:dyDescent="0.25">
      <c r="A184" s="35" t="str">
        <f>IFERROR(INDEX('G-8 Condition Look up'!$I$4:$I$135,MATCH(F184,'G-8 Condition Look up'!$A$4:$A$135,0)),"")</f>
        <v/>
      </c>
      <c r="C184" s="299" t="str">
        <f>IFERROR(INDEX('G-1 All Habitats'!$AG$3:$AG$17,MATCH(D184,'G-1 All Habitats'!$AF$3:$AF$17,0)),"")</f>
        <v/>
      </c>
      <c r="D184" s="54"/>
      <c r="E184" s="61"/>
      <c r="F184" s="296" t="str">
        <f>IFERROR(INDEX('G-1 All Habitats'!$B$3:$B$134,MATCH(E184,'G-1 All Habitats'!$A$3:$A$134,0)),"")</f>
        <v/>
      </c>
      <c r="G184" s="53"/>
      <c r="H184" s="362" t="str">
        <f>IF(F184="","",VLOOKUP(F184,'G-1 All Habitats'!$B$2:$M$134,10,FALSE))</f>
        <v/>
      </c>
      <c r="I184" s="363" t="str">
        <f>IFERROR(VLOOKUP(H184,'G-1 All Habitats'!$V$3:$W$7,2,FALSE),"")</f>
        <v/>
      </c>
      <c r="J184" s="54"/>
      <c r="K184" s="363" t="str">
        <f>IFERROR(INDEX('G-8 Condition Look up'!$A$3:$H$135,MATCH(F184,'G-8 Condition Look up'!$A$3:$A$135,0),MATCH(J184,'G-8 Condition Look up'!$A$3:$H$3,0)),"")</f>
        <v/>
      </c>
      <c r="L184" s="54"/>
      <c r="M184" s="370" t="str">
        <f>IF(L184="","",IF(VLOOKUP(L184,'G-3 Multipliers'!$L$3:$N$6,2,FALSE)=0,"Spatial Data Missing",VLOOKUP(L184,'G-3 Multipliers'!$L$3:$N$6,2,FALSE)))</f>
        <v/>
      </c>
      <c r="N184" s="368" t="str">
        <f>IF(L184="","",IF(VLOOKUP(L184,'G-3 Multipliers'!$L$3:$N$6,3,FALSE)=0,"Spatial Data Missing",VLOOKUP(L184,'G-3 Multipliers'!$L$3:$N$6,3,FALSE)))</f>
        <v/>
      </c>
      <c r="O184" s="362" t="str">
        <f t="shared" si="12"/>
        <v/>
      </c>
      <c r="P184" s="63"/>
      <c r="Q184" s="63"/>
      <c r="R184" s="370" t="str">
        <f t="shared" si="14"/>
        <v/>
      </c>
      <c r="S184" s="383" t="str">
        <f t="shared" si="15"/>
        <v/>
      </c>
      <c r="T184" s="384"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losses",P184&gt;=O184),"Low",VLOOKUP(F184,'G-3 Multipliers'!$A$2:$E$134,4,FALSE))))</f>
        <v/>
      </c>
      <c r="X184" s="386" t="str">
        <f>IFERROR(IF(E184="","",VLOOKUP(W184, 'G-3 Multipliers'!$P$2:$Q$6,2,FALSE)),"")</f>
        <v/>
      </c>
      <c r="Y184" s="390" t="str">
        <f t="shared" si="16"/>
        <v/>
      </c>
      <c r="Z184" s="194"/>
      <c r="AA184" s="195"/>
      <c r="AB184" s="120"/>
      <c r="AE184" s="40" t="str">
        <f t="shared" si="13"/>
        <v/>
      </c>
    </row>
    <row r="185" spans="1:31" x14ac:dyDescent="0.25">
      <c r="A185" s="35" t="str">
        <f>IFERROR(INDEX('G-8 Condition Look up'!$I$4:$I$135,MATCH(F185,'G-8 Condition Look up'!$A$4:$A$135,0)),"")</f>
        <v/>
      </c>
      <c r="C185" s="299" t="str">
        <f>IFERROR(INDEX('G-1 All Habitats'!$AG$3:$AG$17,MATCH(D185,'G-1 All Habitats'!$AF$3:$AF$17,0)),"")</f>
        <v/>
      </c>
      <c r="D185" s="54"/>
      <c r="E185" s="61"/>
      <c r="F185" s="296" t="str">
        <f>IFERROR(INDEX('G-1 All Habitats'!$B$3:$B$134,MATCH(E185,'G-1 All Habitats'!$A$3:$A$134,0)),"")</f>
        <v/>
      </c>
      <c r="G185" s="53"/>
      <c r="H185" s="362" t="str">
        <f>IF(F185="","",VLOOKUP(F185,'G-1 All Habitats'!$B$2:$M$134,10,FALSE))</f>
        <v/>
      </c>
      <c r="I185" s="363" t="str">
        <f>IFERROR(VLOOKUP(H185,'G-1 All Habitats'!$V$3:$W$7,2,FALSE),"")</f>
        <v/>
      </c>
      <c r="J185" s="54"/>
      <c r="K185" s="363" t="str">
        <f>IFERROR(INDEX('G-8 Condition Look up'!$A$3:$H$135,MATCH(F185,'G-8 Condition Look up'!$A$3:$A$135,0),MATCH(J185,'G-8 Condition Look up'!$A$3:$H$3,0)),"")</f>
        <v/>
      </c>
      <c r="L185" s="54"/>
      <c r="M185" s="370" t="str">
        <f>IF(L185="","",IF(VLOOKUP(L185,'G-3 Multipliers'!$L$3:$N$6,2,FALSE)=0,"Spatial Data Missing",VLOOKUP(L185,'G-3 Multipliers'!$L$3:$N$6,2,FALSE)))</f>
        <v/>
      </c>
      <c r="N185" s="368" t="str">
        <f>IF(L185="","",IF(VLOOKUP(L185,'G-3 Multipliers'!$L$3:$N$6,3,FALSE)=0,"Spatial Data Missing",VLOOKUP(L185,'G-3 Multipliers'!$L$3:$N$6,3,FALSE)))</f>
        <v/>
      </c>
      <c r="O185" s="362" t="str">
        <f t="shared" si="12"/>
        <v/>
      </c>
      <c r="P185" s="63"/>
      <c r="Q185" s="63"/>
      <c r="R185" s="370" t="str">
        <f t="shared" si="14"/>
        <v/>
      </c>
      <c r="S185" s="383" t="str">
        <f t="shared" si="15"/>
        <v/>
      </c>
      <c r="T185" s="384"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losses",P185&gt;=O185),"Low",VLOOKUP(F185,'G-3 Multipliers'!$A$2:$E$134,4,FALSE))))</f>
        <v/>
      </c>
      <c r="X185" s="386" t="str">
        <f>IFERROR(IF(E185="","",VLOOKUP(W185, 'G-3 Multipliers'!$P$2:$Q$6,2,FALSE)),"")</f>
        <v/>
      </c>
      <c r="Y185" s="390" t="str">
        <f t="shared" si="16"/>
        <v/>
      </c>
      <c r="Z185" s="194"/>
      <c r="AA185" s="195"/>
      <c r="AB185" s="120"/>
      <c r="AE185" s="40" t="str">
        <f t="shared" si="13"/>
        <v/>
      </c>
    </row>
    <row r="186" spans="1:31" x14ac:dyDescent="0.25">
      <c r="A186" s="35" t="str">
        <f>IFERROR(INDEX('G-8 Condition Look up'!$I$4:$I$135,MATCH(F186,'G-8 Condition Look up'!$A$4:$A$135,0)),"")</f>
        <v/>
      </c>
      <c r="C186" s="299" t="str">
        <f>IFERROR(INDEX('G-1 All Habitats'!$AG$3:$AG$17,MATCH(D186,'G-1 All Habitats'!$AF$3:$AF$17,0)),"")</f>
        <v/>
      </c>
      <c r="D186" s="54"/>
      <c r="E186" s="61"/>
      <c r="F186" s="296" t="str">
        <f>IFERROR(INDEX('G-1 All Habitats'!$B$3:$B$134,MATCH(E186,'G-1 All Habitats'!$A$3:$A$134,0)),"")</f>
        <v/>
      </c>
      <c r="G186" s="53"/>
      <c r="H186" s="362" t="str">
        <f>IF(F186="","",VLOOKUP(F186,'G-1 All Habitats'!$B$2:$M$134,10,FALSE))</f>
        <v/>
      </c>
      <c r="I186" s="363" t="str">
        <f>IFERROR(VLOOKUP(H186,'G-1 All Habitats'!$V$3:$W$7,2,FALSE),"")</f>
        <v/>
      </c>
      <c r="J186" s="54"/>
      <c r="K186" s="363" t="str">
        <f>IFERROR(INDEX('G-8 Condition Look up'!$A$3:$H$135,MATCH(F186,'G-8 Condition Look up'!$A$3:$A$135,0),MATCH(J186,'G-8 Condition Look up'!$A$3:$H$3,0)),"")</f>
        <v/>
      </c>
      <c r="L186" s="54"/>
      <c r="M186" s="370" t="str">
        <f>IF(L186="","",IF(VLOOKUP(L186,'G-3 Multipliers'!$L$3:$N$6,2,FALSE)=0,"Spatial Data Missing",VLOOKUP(L186,'G-3 Multipliers'!$L$3:$N$6,2,FALSE)))</f>
        <v/>
      </c>
      <c r="N186" s="368" t="str">
        <f>IF(L186="","",IF(VLOOKUP(L186,'G-3 Multipliers'!$L$3:$N$6,3,FALSE)=0,"Spatial Data Missing",VLOOKUP(L186,'G-3 Multipliers'!$L$3:$N$6,3,FALSE)))</f>
        <v/>
      </c>
      <c r="O186" s="362" t="str">
        <f t="shared" si="12"/>
        <v/>
      </c>
      <c r="P186" s="63"/>
      <c r="Q186" s="63"/>
      <c r="R186" s="370" t="str">
        <f t="shared" si="14"/>
        <v/>
      </c>
      <c r="S186" s="383" t="str">
        <f t="shared" si="15"/>
        <v/>
      </c>
      <c r="T186" s="384"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losses",P186&gt;=O186),"Low",VLOOKUP(F186,'G-3 Multipliers'!$A$2:$E$134,4,FALSE))))</f>
        <v/>
      </c>
      <c r="X186" s="386" t="str">
        <f>IFERROR(IF(E186="","",VLOOKUP(W186, 'G-3 Multipliers'!$P$2:$Q$6,2,FALSE)),"")</f>
        <v/>
      </c>
      <c r="Y186" s="390" t="str">
        <f t="shared" si="16"/>
        <v/>
      </c>
      <c r="Z186" s="194"/>
      <c r="AA186" s="195"/>
      <c r="AB186" s="120"/>
      <c r="AE186" s="40" t="str">
        <f t="shared" si="13"/>
        <v/>
      </c>
    </row>
    <row r="187" spans="1:31" x14ac:dyDescent="0.25">
      <c r="A187" s="35" t="str">
        <f>IFERROR(INDEX('G-8 Condition Look up'!$I$4:$I$135,MATCH(F187,'G-8 Condition Look up'!$A$4:$A$135,0)),"")</f>
        <v/>
      </c>
      <c r="C187" s="299" t="str">
        <f>IFERROR(INDEX('G-1 All Habitats'!$AG$3:$AG$17,MATCH(D187,'G-1 All Habitats'!$AF$3:$AF$17,0)),"")</f>
        <v/>
      </c>
      <c r="D187" s="54"/>
      <c r="E187" s="61"/>
      <c r="F187" s="296" t="str">
        <f>IFERROR(INDEX('G-1 All Habitats'!$B$3:$B$134,MATCH(E187,'G-1 All Habitats'!$A$3:$A$134,0)),"")</f>
        <v/>
      </c>
      <c r="G187" s="53"/>
      <c r="H187" s="362" t="str">
        <f>IF(F187="","",VLOOKUP(F187,'G-1 All Habitats'!$B$2:$M$134,10,FALSE))</f>
        <v/>
      </c>
      <c r="I187" s="363" t="str">
        <f>IFERROR(VLOOKUP(H187,'G-1 All Habitats'!$V$3:$W$7,2,FALSE),"")</f>
        <v/>
      </c>
      <c r="J187" s="54"/>
      <c r="K187" s="363" t="str">
        <f>IFERROR(INDEX('G-8 Condition Look up'!$A$3:$H$135,MATCH(F187,'G-8 Condition Look up'!$A$3:$A$135,0),MATCH(J187,'G-8 Condition Look up'!$A$3:$H$3,0)),"")</f>
        <v/>
      </c>
      <c r="L187" s="54"/>
      <c r="M187" s="370" t="str">
        <f>IF(L187="","",IF(VLOOKUP(L187,'G-3 Multipliers'!$L$3:$N$6,2,FALSE)=0,"Spatial Data Missing",VLOOKUP(L187,'G-3 Multipliers'!$L$3:$N$6,2,FALSE)))</f>
        <v/>
      </c>
      <c r="N187" s="368" t="str">
        <f>IF(L187="","",IF(VLOOKUP(L187,'G-3 Multipliers'!$L$3:$N$6,3,FALSE)=0,"Spatial Data Missing",VLOOKUP(L187,'G-3 Multipliers'!$L$3:$N$6,3,FALSE)))</f>
        <v/>
      </c>
      <c r="O187" s="362" t="str">
        <f t="shared" si="12"/>
        <v/>
      </c>
      <c r="P187" s="63"/>
      <c r="Q187" s="63"/>
      <c r="R187" s="370" t="str">
        <f t="shared" si="14"/>
        <v/>
      </c>
      <c r="S187" s="383" t="str">
        <f t="shared" si="15"/>
        <v/>
      </c>
      <c r="T187" s="384"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losses",P187&gt;=O187),"Low",VLOOKUP(F187,'G-3 Multipliers'!$A$2:$E$134,4,FALSE))))</f>
        <v/>
      </c>
      <c r="X187" s="386" t="str">
        <f>IFERROR(IF(E187="","",VLOOKUP(W187, 'G-3 Multipliers'!$P$2:$Q$6,2,FALSE)),"")</f>
        <v/>
      </c>
      <c r="Y187" s="390" t="str">
        <f t="shared" si="16"/>
        <v/>
      </c>
      <c r="Z187" s="194"/>
      <c r="AA187" s="195"/>
      <c r="AB187" s="120"/>
      <c r="AE187" s="40" t="str">
        <f t="shared" si="13"/>
        <v/>
      </c>
    </row>
    <row r="188" spans="1:31" x14ac:dyDescent="0.25">
      <c r="A188" s="35" t="str">
        <f>IFERROR(INDEX('G-8 Condition Look up'!$I$4:$I$135,MATCH(F188,'G-8 Condition Look up'!$A$4:$A$135,0)),"")</f>
        <v/>
      </c>
      <c r="C188" s="299" t="str">
        <f>IFERROR(INDEX('G-1 All Habitats'!$AG$3:$AG$17,MATCH(D188,'G-1 All Habitats'!$AF$3:$AF$17,0)),"")</f>
        <v/>
      </c>
      <c r="D188" s="54"/>
      <c r="E188" s="61"/>
      <c r="F188" s="296" t="str">
        <f>IFERROR(INDEX('G-1 All Habitats'!$B$3:$B$134,MATCH(E188,'G-1 All Habitats'!$A$3:$A$134,0)),"")</f>
        <v/>
      </c>
      <c r="G188" s="53"/>
      <c r="H188" s="362" t="str">
        <f>IF(F188="","",VLOOKUP(F188,'G-1 All Habitats'!$B$2:$M$134,10,FALSE))</f>
        <v/>
      </c>
      <c r="I188" s="363" t="str">
        <f>IFERROR(VLOOKUP(H188,'G-1 All Habitats'!$V$3:$W$7,2,FALSE),"")</f>
        <v/>
      </c>
      <c r="J188" s="54"/>
      <c r="K188" s="363" t="str">
        <f>IFERROR(INDEX('G-8 Condition Look up'!$A$3:$H$135,MATCH(F188,'G-8 Condition Look up'!$A$3:$A$135,0),MATCH(J188,'G-8 Condition Look up'!$A$3:$H$3,0)),"")</f>
        <v/>
      </c>
      <c r="L188" s="54"/>
      <c r="M188" s="370" t="str">
        <f>IF(L188="","",IF(VLOOKUP(L188,'G-3 Multipliers'!$L$3:$N$6,2,FALSE)=0,"Spatial Data Missing",VLOOKUP(L188,'G-3 Multipliers'!$L$3:$N$6,2,FALSE)))</f>
        <v/>
      </c>
      <c r="N188" s="368" t="str">
        <f>IF(L188="","",IF(VLOOKUP(L188,'G-3 Multipliers'!$L$3:$N$6,3,FALSE)=0,"Spatial Data Missing",VLOOKUP(L188,'G-3 Multipliers'!$L$3:$N$6,3,FALSE)))</f>
        <v/>
      </c>
      <c r="O188" s="362" t="str">
        <f t="shared" si="12"/>
        <v/>
      </c>
      <c r="P188" s="63"/>
      <c r="Q188" s="63"/>
      <c r="R188" s="370" t="str">
        <f t="shared" si="14"/>
        <v/>
      </c>
      <c r="S188" s="383" t="str">
        <f t="shared" si="15"/>
        <v/>
      </c>
      <c r="T188" s="384"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losses",P188&gt;=O188),"Low",VLOOKUP(F188,'G-3 Multipliers'!$A$2:$E$134,4,FALSE))))</f>
        <v/>
      </c>
      <c r="X188" s="386" t="str">
        <f>IFERROR(IF(E188="","",VLOOKUP(W188, 'G-3 Multipliers'!$P$2:$Q$6,2,FALSE)),"")</f>
        <v/>
      </c>
      <c r="Y188" s="390" t="str">
        <f t="shared" si="16"/>
        <v/>
      </c>
      <c r="Z188" s="194"/>
      <c r="AA188" s="195"/>
      <c r="AB188" s="120"/>
      <c r="AE188" s="40" t="str">
        <f t="shared" si="13"/>
        <v/>
      </c>
    </row>
    <row r="189" spans="1:31" x14ac:dyDescent="0.25">
      <c r="A189" s="35" t="str">
        <f>IFERROR(INDEX('G-8 Condition Look up'!$I$4:$I$135,MATCH(F189,'G-8 Condition Look up'!$A$4:$A$135,0)),"")</f>
        <v/>
      </c>
      <c r="C189" s="299" t="str">
        <f>IFERROR(INDEX('G-1 All Habitats'!$AG$3:$AG$17,MATCH(D189,'G-1 All Habitats'!$AF$3:$AF$17,0)),"")</f>
        <v/>
      </c>
      <c r="D189" s="54"/>
      <c r="E189" s="61"/>
      <c r="F189" s="296" t="str">
        <f>IFERROR(INDEX('G-1 All Habitats'!$B$3:$B$134,MATCH(E189,'G-1 All Habitats'!$A$3:$A$134,0)),"")</f>
        <v/>
      </c>
      <c r="G189" s="53"/>
      <c r="H189" s="362" t="str">
        <f>IF(F189="","",VLOOKUP(F189,'G-1 All Habitats'!$B$2:$M$134,10,FALSE))</f>
        <v/>
      </c>
      <c r="I189" s="363" t="str">
        <f>IFERROR(VLOOKUP(H189,'G-1 All Habitats'!$V$3:$W$7,2,FALSE),"")</f>
        <v/>
      </c>
      <c r="J189" s="54"/>
      <c r="K189" s="363" t="str">
        <f>IFERROR(INDEX('G-8 Condition Look up'!$A$3:$H$135,MATCH(F189,'G-8 Condition Look up'!$A$3:$A$135,0),MATCH(J189,'G-8 Condition Look up'!$A$3:$H$3,0)),"")</f>
        <v/>
      </c>
      <c r="L189" s="54"/>
      <c r="M189" s="370" t="str">
        <f>IF(L189="","",IF(VLOOKUP(L189,'G-3 Multipliers'!$L$3:$N$6,2,FALSE)=0,"Spatial Data Missing",VLOOKUP(L189,'G-3 Multipliers'!$L$3:$N$6,2,FALSE)))</f>
        <v/>
      </c>
      <c r="N189" s="368" t="str">
        <f>IF(L189="","",IF(VLOOKUP(L189,'G-3 Multipliers'!$L$3:$N$6,3,FALSE)=0,"Spatial Data Missing",VLOOKUP(L189,'G-3 Multipliers'!$L$3:$N$6,3,FALSE)))</f>
        <v/>
      </c>
      <c r="O189" s="362" t="str">
        <f t="shared" si="12"/>
        <v/>
      </c>
      <c r="P189" s="63"/>
      <c r="Q189" s="63"/>
      <c r="R189" s="370" t="str">
        <f t="shared" si="14"/>
        <v/>
      </c>
      <c r="S189" s="383" t="str">
        <f t="shared" si="15"/>
        <v/>
      </c>
      <c r="T189" s="384"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losses",P189&gt;=O189),"Low",VLOOKUP(F189,'G-3 Multipliers'!$A$2:$E$134,4,FALSE))))</f>
        <v/>
      </c>
      <c r="X189" s="386" t="str">
        <f>IFERROR(IF(E189="","",VLOOKUP(W189, 'G-3 Multipliers'!$P$2:$Q$6,2,FALSE)),"")</f>
        <v/>
      </c>
      <c r="Y189" s="390" t="str">
        <f t="shared" si="16"/>
        <v/>
      </c>
      <c r="Z189" s="194"/>
      <c r="AA189" s="195"/>
      <c r="AB189" s="120"/>
      <c r="AE189" s="40" t="str">
        <f t="shared" si="13"/>
        <v/>
      </c>
    </row>
    <row r="190" spans="1:31" x14ac:dyDescent="0.25">
      <c r="A190" s="35" t="str">
        <f>IFERROR(INDEX('G-8 Condition Look up'!$I$4:$I$135,MATCH(F190,'G-8 Condition Look up'!$A$4:$A$135,0)),"")</f>
        <v/>
      </c>
      <c r="C190" s="299" t="str">
        <f>IFERROR(INDEX('G-1 All Habitats'!$AG$3:$AG$17,MATCH(D190,'G-1 All Habitats'!$AF$3:$AF$17,0)),"")</f>
        <v/>
      </c>
      <c r="D190" s="54"/>
      <c r="E190" s="61"/>
      <c r="F190" s="296" t="str">
        <f>IFERROR(INDEX('G-1 All Habitats'!$B$3:$B$134,MATCH(E190,'G-1 All Habitats'!$A$3:$A$134,0)),"")</f>
        <v/>
      </c>
      <c r="G190" s="53"/>
      <c r="H190" s="362" t="str">
        <f>IF(F190="","",VLOOKUP(F190,'G-1 All Habitats'!$B$2:$M$134,10,FALSE))</f>
        <v/>
      </c>
      <c r="I190" s="363" t="str">
        <f>IFERROR(VLOOKUP(H190,'G-1 All Habitats'!$V$3:$W$7,2,FALSE),"")</f>
        <v/>
      </c>
      <c r="J190" s="54"/>
      <c r="K190" s="363" t="str">
        <f>IFERROR(INDEX('G-8 Condition Look up'!$A$3:$H$135,MATCH(F190,'G-8 Condition Look up'!$A$3:$A$135,0),MATCH(J190,'G-8 Condition Look up'!$A$3:$H$3,0)),"")</f>
        <v/>
      </c>
      <c r="L190" s="54"/>
      <c r="M190" s="370" t="str">
        <f>IF(L190="","",IF(VLOOKUP(L190,'G-3 Multipliers'!$L$3:$N$6,2,FALSE)=0,"Spatial Data Missing",VLOOKUP(L190,'G-3 Multipliers'!$L$3:$N$6,2,FALSE)))</f>
        <v/>
      </c>
      <c r="N190" s="368" t="str">
        <f>IF(L190="","",IF(VLOOKUP(L190,'G-3 Multipliers'!$L$3:$N$6,3,FALSE)=0,"Spatial Data Missing",VLOOKUP(L190,'G-3 Multipliers'!$L$3:$N$6,3,FALSE)))</f>
        <v/>
      </c>
      <c r="O190" s="362" t="str">
        <f t="shared" si="12"/>
        <v/>
      </c>
      <c r="P190" s="63"/>
      <c r="Q190" s="63"/>
      <c r="R190" s="370" t="str">
        <f t="shared" si="14"/>
        <v/>
      </c>
      <c r="S190" s="383" t="str">
        <f t="shared" si="15"/>
        <v/>
      </c>
      <c r="T190" s="384"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losses",P190&gt;=O190),"Low",VLOOKUP(F190,'G-3 Multipliers'!$A$2:$E$134,4,FALSE))))</f>
        <v/>
      </c>
      <c r="X190" s="386" t="str">
        <f>IFERROR(IF(E190="","",VLOOKUP(W190, 'G-3 Multipliers'!$P$2:$Q$6,2,FALSE)),"")</f>
        <v/>
      </c>
      <c r="Y190" s="390" t="str">
        <f t="shared" si="16"/>
        <v/>
      </c>
      <c r="Z190" s="194"/>
      <c r="AA190" s="195"/>
      <c r="AB190" s="120"/>
      <c r="AE190" s="40" t="str">
        <f t="shared" si="13"/>
        <v/>
      </c>
    </row>
    <row r="191" spans="1:31" x14ac:dyDescent="0.25">
      <c r="A191" s="35" t="str">
        <f>IFERROR(INDEX('G-8 Condition Look up'!$I$4:$I$135,MATCH(F191,'G-8 Condition Look up'!$A$4:$A$135,0)),"")</f>
        <v/>
      </c>
      <c r="C191" s="299" t="str">
        <f>IFERROR(INDEX('G-1 All Habitats'!$AG$3:$AG$17,MATCH(D191,'G-1 All Habitats'!$AF$3:$AF$17,0)),"")</f>
        <v/>
      </c>
      <c r="D191" s="54"/>
      <c r="E191" s="61"/>
      <c r="F191" s="296" t="str">
        <f>IFERROR(INDEX('G-1 All Habitats'!$B$3:$B$134,MATCH(E191,'G-1 All Habitats'!$A$3:$A$134,0)),"")</f>
        <v/>
      </c>
      <c r="G191" s="53"/>
      <c r="H191" s="362" t="str">
        <f>IF(F191="","",VLOOKUP(F191,'G-1 All Habitats'!$B$2:$M$134,10,FALSE))</f>
        <v/>
      </c>
      <c r="I191" s="363" t="str">
        <f>IFERROR(VLOOKUP(H191,'G-1 All Habitats'!$V$3:$W$7,2,FALSE),"")</f>
        <v/>
      </c>
      <c r="J191" s="54"/>
      <c r="K191" s="363" t="str">
        <f>IFERROR(INDEX('G-8 Condition Look up'!$A$3:$H$135,MATCH(F191,'G-8 Condition Look up'!$A$3:$A$135,0),MATCH(J191,'G-8 Condition Look up'!$A$3:$H$3,0)),"")</f>
        <v/>
      </c>
      <c r="L191" s="54"/>
      <c r="M191" s="370" t="str">
        <f>IF(L191="","",IF(VLOOKUP(L191,'G-3 Multipliers'!$L$3:$N$6,2,FALSE)=0,"Spatial Data Missing",VLOOKUP(L191,'G-3 Multipliers'!$L$3:$N$6,2,FALSE)))</f>
        <v/>
      </c>
      <c r="N191" s="368" t="str">
        <f>IF(L191="","",IF(VLOOKUP(L191,'G-3 Multipliers'!$L$3:$N$6,3,FALSE)=0,"Spatial Data Missing",VLOOKUP(L191,'G-3 Multipliers'!$L$3:$N$6,3,FALSE)))</f>
        <v/>
      </c>
      <c r="O191" s="362" t="str">
        <f t="shared" si="12"/>
        <v/>
      </c>
      <c r="P191" s="63"/>
      <c r="Q191" s="63"/>
      <c r="R191" s="370" t="str">
        <f t="shared" si="14"/>
        <v/>
      </c>
      <c r="S191" s="383" t="str">
        <f t="shared" si="15"/>
        <v/>
      </c>
      <c r="T191" s="384"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losses",P191&gt;=O191),"Low",VLOOKUP(F191,'G-3 Multipliers'!$A$2:$E$134,4,FALSE))))</f>
        <v/>
      </c>
      <c r="X191" s="386" t="str">
        <f>IFERROR(IF(E191="","",VLOOKUP(W191, 'G-3 Multipliers'!$P$2:$Q$6,2,FALSE)),"")</f>
        <v/>
      </c>
      <c r="Y191" s="390" t="str">
        <f t="shared" si="16"/>
        <v/>
      </c>
      <c r="Z191" s="194"/>
      <c r="AA191" s="195"/>
      <c r="AB191" s="120"/>
      <c r="AE191" s="40" t="str">
        <f t="shared" si="13"/>
        <v/>
      </c>
    </row>
    <row r="192" spans="1:31" x14ac:dyDescent="0.25">
      <c r="A192" s="35" t="str">
        <f>IFERROR(INDEX('G-8 Condition Look up'!$I$4:$I$135,MATCH(F192,'G-8 Condition Look up'!$A$4:$A$135,0)),"")</f>
        <v/>
      </c>
      <c r="C192" s="299" t="str">
        <f>IFERROR(INDEX('G-1 All Habitats'!$AG$3:$AG$17,MATCH(D192,'G-1 All Habitats'!$AF$3:$AF$17,0)),"")</f>
        <v/>
      </c>
      <c r="D192" s="54"/>
      <c r="E192" s="61"/>
      <c r="F192" s="296" t="str">
        <f>IFERROR(INDEX('G-1 All Habitats'!$B$3:$B$134,MATCH(E192,'G-1 All Habitats'!$A$3:$A$134,0)),"")</f>
        <v/>
      </c>
      <c r="G192" s="53"/>
      <c r="H192" s="362" t="str">
        <f>IF(F192="","",VLOOKUP(F192,'G-1 All Habitats'!$B$2:$M$134,10,FALSE))</f>
        <v/>
      </c>
      <c r="I192" s="363" t="str">
        <f>IFERROR(VLOOKUP(H192,'G-1 All Habitats'!$V$3:$W$7,2,FALSE),"")</f>
        <v/>
      </c>
      <c r="J192" s="54"/>
      <c r="K192" s="363" t="str">
        <f>IFERROR(INDEX('G-8 Condition Look up'!$A$3:$H$135,MATCH(F192,'G-8 Condition Look up'!$A$3:$A$135,0),MATCH(J192,'G-8 Condition Look up'!$A$3:$H$3,0)),"")</f>
        <v/>
      </c>
      <c r="L192" s="54"/>
      <c r="M192" s="370" t="str">
        <f>IF(L192="","",IF(VLOOKUP(L192,'G-3 Multipliers'!$L$3:$N$6,2,FALSE)=0,"Spatial Data Missing",VLOOKUP(L192,'G-3 Multipliers'!$L$3:$N$6,2,FALSE)))</f>
        <v/>
      </c>
      <c r="N192" s="368" t="str">
        <f>IF(L192="","",IF(VLOOKUP(L192,'G-3 Multipliers'!$L$3:$N$6,3,FALSE)=0,"Spatial Data Missing",VLOOKUP(L192,'G-3 Multipliers'!$L$3:$N$6,3,FALSE)))</f>
        <v/>
      </c>
      <c r="O192" s="362" t="str">
        <f t="shared" si="12"/>
        <v/>
      </c>
      <c r="P192" s="63"/>
      <c r="Q192" s="63"/>
      <c r="R192" s="370" t="str">
        <f t="shared" si="14"/>
        <v/>
      </c>
      <c r="S192" s="383" t="str">
        <f t="shared" si="15"/>
        <v/>
      </c>
      <c r="T192" s="384"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losses",P192&gt;=O192),"Low",VLOOKUP(F192,'G-3 Multipliers'!$A$2:$E$134,4,FALSE))))</f>
        <v/>
      </c>
      <c r="X192" s="386" t="str">
        <f>IFERROR(IF(E192="","",VLOOKUP(W192, 'G-3 Multipliers'!$P$2:$Q$6,2,FALSE)),"")</f>
        <v/>
      </c>
      <c r="Y192" s="390" t="str">
        <f t="shared" si="16"/>
        <v/>
      </c>
      <c r="Z192" s="194"/>
      <c r="AA192" s="195"/>
      <c r="AB192" s="120"/>
      <c r="AE192" s="40" t="str">
        <f t="shared" si="13"/>
        <v/>
      </c>
    </row>
    <row r="193" spans="1:31" x14ac:dyDescent="0.25">
      <c r="A193" s="35" t="str">
        <f>IFERROR(INDEX('G-8 Condition Look up'!$I$4:$I$135,MATCH(F193,'G-8 Condition Look up'!$A$4:$A$135,0)),"")</f>
        <v/>
      </c>
      <c r="C193" s="299" t="str">
        <f>IFERROR(INDEX('G-1 All Habitats'!$AG$3:$AG$17,MATCH(D193,'G-1 All Habitats'!$AF$3:$AF$17,0)),"")</f>
        <v/>
      </c>
      <c r="D193" s="54"/>
      <c r="E193" s="61"/>
      <c r="F193" s="296" t="str">
        <f>IFERROR(INDEX('G-1 All Habitats'!$B$3:$B$134,MATCH(E193,'G-1 All Habitats'!$A$3:$A$134,0)),"")</f>
        <v/>
      </c>
      <c r="G193" s="53"/>
      <c r="H193" s="362" t="str">
        <f>IF(F193="","",VLOOKUP(F193,'G-1 All Habitats'!$B$2:$M$134,10,FALSE))</f>
        <v/>
      </c>
      <c r="I193" s="363" t="str">
        <f>IFERROR(VLOOKUP(H193,'G-1 All Habitats'!$V$3:$W$7,2,FALSE),"")</f>
        <v/>
      </c>
      <c r="J193" s="54"/>
      <c r="K193" s="363" t="str">
        <f>IFERROR(INDEX('G-8 Condition Look up'!$A$3:$H$135,MATCH(F193,'G-8 Condition Look up'!$A$3:$A$135,0),MATCH(J193,'G-8 Condition Look up'!$A$3:$H$3,0)),"")</f>
        <v/>
      </c>
      <c r="L193" s="54"/>
      <c r="M193" s="370" t="str">
        <f>IF(L193="","",IF(VLOOKUP(L193,'G-3 Multipliers'!$L$3:$N$6,2,FALSE)=0,"Spatial Data Missing",VLOOKUP(L193,'G-3 Multipliers'!$L$3:$N$6,2,FALSE)))</f>
        <v/>
      </c>
      <c r="N193" s="368" t="str">
        <f>IF(L193="","",IF(VLOOKUP(L193,'G-3 Multipliers'!$L$3:$N$6,3,FALSE)=0,"Spatial Data Missing",VLOOKUP(L193,'G-3 Multipliers'!$L$3:$N$6,3,FALSE)))</f>
        <v/>
      </c>
      <c r="O193" s="362" t="str">
        <f t="shared" si="12"/>
        <v/>
      </c>
      <c r="P193" s="63"/>
      <c r="Q193" s="63"/>
      <c r="R193" s="370" t="str">
        <f t="shared" si="14"/>
        <v/>
      </c>
      <c r="S193" s="383" t="str">
        <f t="shared" si="15"/>
        <v/>
      </c>
      <c r="T193" s="384"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losses",P193&gt;=O193),"Low",VLOOKUP(F193,'G-3 Multipliers'!$A$2:$E$134,4,FALSE))))</f>
        <v/>
      </c>
      <c r="X193" s="386" t="str">
        <f>IFERROR(IF(E193="","",VLOOKUP(W193, 'G-3 Multipliers'!$P$2:$Q$6,2,FALSE)),"")</f>
        <v/>
      </c>
      <c r="Y193" s="390" t="str">
        <f t="shared" si="16"/>
        <v/>
      </c>
      <c r="Z193" s="194"/>
      <c r="AA193" s="195"/>
      <c r="AB193" s="120"/>
      <c r="AE193" s="40" t="str">
        <f t="shared" si="13"/>
        <v/>
      </c>
    </row>
    <row r="194" spans="1:31" x14ac:dyDescent="0.25">
      <c r="A194" s="35" t="str">
        <f>IFERROR(INDEX('G-8 Condition Look up'!$I$4:$I$135,MATCH(F194,'G-8 Condition Look up'!$A$4:$A$135,0)),"")</f>
        <v/>
      </c>
      <c r="C194" s="299" t="str">
        <f>IFERROR(INDEX('G-1 All Habitats'!$AG$3:$AG$17,MATCH(D194,'G-1 All Habitats'!$AF$3:$AF$17,0)),"")</f>
        <v/>
      </c>
      <c r="D194" s="54"/>
      <c r="E194" s="61"/>
      <c r="F194" s="296" t="str">
        <f>IFERROR(INDEX('G-1 All Habitats'!$B$3:$B$134,MATCH(E194,'G-1 All Habitats'!$A$3:$A$134,0)),"")</f>
        <v/>
      </c>
      <c r="G194" s="53"/>
      <c r="H194" s="362" t="str">
        <f>IF(F194="","",VLOOKUP(F194,'G-1 All Habitats'!$B$2:$M$134,10,FALSE))</f>
        <v/>
      </c>
      <c r="I194" s="363" t="str">
        <f>IFERROR(VLOOKUP(H194,'G-1 All Habitats'!$V$3:$W$7,2,FALSE),"")</f>
        <v/>
      </c>
      <c r="J194" s="54"/>
      <c r="K194" s="363" t="str">
        <f>IFERROR(INDEX('G-8 Condition Look up'!$A$3:$H$135,MATCH(F194,'G-8 Condition Look up'!$A$3:$A$135,0),MATCH(J194,'G-8 Condition Look up'!$A$3:$H$3,0)),"")</f>
        <v/>
      </c>
      <c r="L194" s="54"/>
      <c r="M194" s="370" t="str">
        <f>IF(L194="","",IF(VLOOKUP(L194,'G-3 Multipliers'!$L$3:$N$6,2,FALSE)=0,"Spatial Data Missing",VLOOKUP(L194,'G-3 Multipliers'!$L$3:$N$6,2,FALSE)))</f>
        <v/>
      </c>
      <c r="N194" s="368" t="str">
        <f>IF(L194="","",IF(VLOOKUP(L194,'G-3 Multipliers'!$L$3:$N$6,3,FALSE)=0,"Spatial Data Missing",VLOOKUP(L194,'G-3 Multipliers'!$L$3:$N$6,3,FALSE)))</f>
        <v/>
      </c>
      <c r="O194" s="362" t="str">
        <f t="shared" si="12"/>
        <v/>
      </c>
      <c r="P194" s="63"/>
      <c r="Q194" s="63"/>
      <c r="R194" s="370" t="str">
        <f t="shared" si="14"/>
        <v/>
      </c>
      <c r="S194" s="383" t="str">
        <f t="shared" si="15"/>
        <v/>
      </c>
      <c r="T194" s="384"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losses",P194&gt;=O194),"Low",VLOOKUP(F194,'G-3 Multipliers'!$A$2:$E$134,4,FALSE))))</f>
        <v/>
      </c>
      <c r="X194" s="386" t="str">
        <f>IFERROR(IF(E194="","",VLOOKUP(W194, 'G-3 Multipliers'!$P$2:$Q$6,2,FALSE)),"")</f>
        <v/>
      </c>
      <c r="Y194" s="390" t="str">
        <f t="shared" si="16"/>
        <v/>
      </c>
      <c r="Z194" s="194"/>
      <c r="AA194" s="195"/>
      <c r="AB194" s="120"/>
      <c r="AE194" s="40" t="str">
        <f t="shared" si="13"/>
        <v/>
      </c>
    </row>
    <row r="195" spans="1:31" x14ac:dyDescent="0.25">
      <c r="A195" s="35" t="str">
        <f>IFERROR(INDEX('G-8 Condition Look up'!$I$4:$I$135,MATCH(F195,'G-8 Condition Look up'!$A$4:$A$135,0)),"")</f>
        <v/>
      </c>
      <c r="C195" s="299" t="str">
        <f>IFERROR(INDEX('G-1 All Habitats'!$AG$3:$AG$17,MATCH(D195,'G-1 All Habitats'!$AF$3:$AF$17,0)),"")</f>
        <v/>
      </c>
      <c r="D195" s="54"/>
      <c r="E195" s="61"/>
      <c r="F195" s="296" t="str">
        <f>IFERROR(INDEX('G-1 All Habitats'!$B$3:$B$134,MATCH(E195,'G-1 All Habitats'!$A$3:$A$134,0)),"")</f>
        <v/>
      </c>
      <c r="G195" s="53"/>
      <c r="H195" s="362" t="str">
        <f>IF(F195="","",VLOOKUP(F195,'G-1 All Habitats'!$B$2:$M$134,10,FALSE))</f>
        <v/>
      </c>
      <c r="I195" s="363" t="str">
        <f>IFERROR(VLOOKUP(H195,'G-1 All Habitats'!$V$3:$W$7,2,FALSE),"")</f>
        <v/>
      </c>
      <c r="J195" s="54"/>
      <c r="K195" s="363" t="str">
        <f>IFERROR(INDEX('G-8 Condition Look up'!$A$3:$H$135,MATCH(F195,'G-8 Condition Look up'!$A$3:$A$135,0),MATCH(J195,'G-8 Condition Look up'!$A$3:$H$3,0)),"")</f>
        <v/>
      </c>
      <c r="L195" s="54"/>
      <c r="M195" s="370" t="str">
        <f>IF(L195="","",IF(VLOOKUP(L195,'G-3 Multipliers'!$L$3:$N$6,2,FALSE)=0,"Spatial Data Missing",VLOOKUP(L195,'G-3 Multipliers'!$L$3:$N$6,2,FALSE)))</f>
        <v/>
      </c>
      <c r="N195" s="368" t="str">
        <f>IF(L195="","",IF(VLOOKUP(L195,'G-3 Multipliers'!$L$3:$N$6,3,FALSE)=0,"Spatial Data Missing",VLOOKUP(L195,'G-3 Multipliers'!$L$3:$N$6,3,FALSE)))</f>
        <v/>
      </c>
      <c r="O195" s="362" t="str">
        <f t="shared" si="12"/>
        <v/>
      </c>
      <c r="P195" s="63"/>
      <c r="Q195" s="63"/>
      <c r="R195" s="370" t="str">
        <f t="shared" si="14"/>
        <v/>
      </c>
      <c r="S195" s="383" t="str">
        <f t="shared" si="15"/>
        <v/>
      </c>
      <c r="T195" s="384"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losses",P195&gt;=O195),"Low",VLOOKUP(F195,'G-3 Multipliers'!$A$2:$E$134,4,FALSE))))</f>
        <v/>
      </c>
      <c r="X195" s="386" t="str">
        <f>IFERROR(IF(E195="","",VLOOKUP(W195, 'G-3 Multipliers'!$P$2:$Q$6,2,FALSE)),"")</f>
        <v/>
      </c>
      <c r="Y195" s="390" t="str">
        <f t="shared" si="16"/>
        <v/>
      </c>
      <c r="Z195" s="194"/>
      <c r="AA195" s="195"/>
      <c r="AB195" s="120"/>
      <c r="AE195" s="40" t="str">
        <f t="shared" si="13"/>
        <v/>
      </c>
    </row>
    <row r="196" spans="1:31" x14ac:dyDescent="0.25">
      <c r="A196" s="35" t="str">
        <f>IFERROR(INDEX('G-8 Condition Look up'!$I$4:$I$135,MATCH(F196,'G-8 Condition Look up'!$A$4:$A$135,0)),"")</f>
        <v/>
      </c>
      <c r="C196" s="299" t="str">
        <f>IFERROR(INDEX('G-1 All Habitats'!$AG$3:$AG$17,MATCH(D196,'G-1 All Habitats'!$AF$3:$AF$17,0)),"")</f>
        <v/>
      </c>
      <c r="D196" s="54"/>
      <c r="E196" s="61"/>
      <c r="F196" s="296" t="str">
        <f>IFERROR(INDEX('G-1 All Habitats'!$B$3:$B$134,MATCH(E196,'G-1 All Habitats'!$A$3:$A$134,0)),"")</f>
        <v/>
      </c>
      <c r="G196" s="53"/>
      <c r="H196" s="362" t="str">
        <f>IF(F196="","",VLOOKUP(F196,'G-1 All Habitats'!$B$2:$M$134,10,FALSE))</f>
        <v/>
      </c>
      <c r="I196" s="363" t="str">
        <f>IFERROR(VLOOKUP(H196,'G-1 All Habitats'!$V$3:$W$7,2,FALSE),"")</f>
        <v/>
      </c>
      <c r="J196" s="54"/>
      <c r="K196" s="363" t="str">
        <f>IFERROR(INDEX('G-8 Condition Look up'!$A$3:$H$135,MATCH(F196,'G-8 Condition Look up'!$A$3:$A$135,0),MATCH(J196,'G-8 Condition Look up'!$A$3:$H$3,0)),"")</f>
        <v/>
      </c>
      <c r="L196" s="54"/>
      <c r="M196" s="370" t="str">
        <f>IF(L196="","",IF(VLOOKUP(L196,'G-3 Multipliers'!$L$3:$N$6,2,FALSE)=0,"Spatial Data Missing",VLOOKUP(L196,'G-3 Multipliers'!$L$3:$N$6,2,FALSE)))</f>
        <v/>
      </c>
      <c r="N196" s="368" t="str">
        <f>IF(L196="","",IF(VLOOKUP(L196,'G-3 Multipliers'!$L$3:$N$6,3,FALSE)=0,"Spatial Data Missing",VLOOKUP(L196,'G-3 Multipliers'!$L$3:$N$6,3,FALSE)))</f>
        <v/>
      </c>
      <c r="O196" s="362" t="str">
        <f t="shared" si="12"/>
        <v/>
      </c>
      <c r="P196" s="63"/>
      <c r="Q196" s="63"/>
      <c r="R196" s="370" t="str">
        <f t="shared" si="14"/>
        <v/>
      </c>
      <c r="S196" s="383" t="str">
        <f t="shared" si="15"/>
        <v/>
      </c>
      <c r="T196" s="384"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losses",P196&gt;=O196),"Low",VLOOKUP(F196,'G-3 Multipliers'!$A$2:$E$134,4,FALSE))))</f>
        <v/>
      </c>
      <c r="X196" s="386" t="str">
        <f>IFERROR(IF(E196="","",VLOOKUP(W196, 'G-3 Multipliers'!$P$2:$Q$6,2,FALSE)),"")</f>
        <v/>
      </c>
      <c r="Y196" s="390" t="str">
        <f t="shared" si="16"/>
        <v/>
      </c>
      <c r="Z196" s="194"/>
      <c r="AA196" s="195"/>
      <c r="AB196" s="120"/>
      <c r="AE196" s="40" t="str">
        <f t="shared" si="13"/>
        <v/>
      </c>
    </row>
    <row r="197" spans="1:31" x14ac:dyDescent="0.25">
      <c r="A197" s="35" t="str">
        <f>IFERROR(INDEX('G-8 Condition Look up'!$I$4:$I$135,MATCH(F197,'G-8 Condition Look up'!$A$4:$A$135,0)),"")</f>
        <v/>
      </c>
      <c r="C197" s="299" t="str">
        <f>IFERROR(INDEX('G-1 All Habitats'!$AG$3:$AG$17,MATCH(D197,'G-1 All Habitats'!$AF$3:$AF$17,0)),"")</f>
        <v/>
      </c>
      <c r="D197" s="54"/>
      <c r="E197" s="61"/>
      <c r="F197" s="296" t="str">
        <f>IFERROR(INDEX('G-1 All Habitats'!$B$3:$B$134,MATCH(E197,'G-1 All Habitats'!$A$3:$A$134,0)),"")</f>
        <v/>
      </c>
      <c r="G197" s="53"/>
      <c r="H197" s="362" t="str">
        <f>IF(F197="","",VLOOKUP(F197,'G-1 All Habitats'!$B$2:$M$134,10,FALSE))</f>
        <v/>
      </c>
      <c r="I197" s="363" t="str">
        <f>IFERROR(VLOOKUP(H197,'G-1 All Habitats'!$V$3:$W$7,2,FALSE),"")</f>
        <v/>
      </c>
      <c r="J197" s="54"/>
      <c r="K197" s="363" t="str">
        <f>IFERROR(INDEX('G-8 Condition Look up'!$A$3:$H$135,MATCH(F197,'G-8 Condition Look up'!$A$3:$A$135,0),MATCH(J197,'G-8 Condition Look up'!$A$3:$H$3,0)),"")</f>
        <v/>
      </c>
      <c r="L197" s="54"/>
      <c r="M197" s="370" t="str">
        <f>IF(L197="","",IF(VLOOKUP(L197,'G-3 Multipliers'!$L$3:$N$6,2,FALSE)=0,"Spatial Data Missing",VLOOKUP(L197,'G-3 Multipliers'!$L$3:$N$6,2,FALSE)))</f>
        <v/>
      </c>
      <c r="N197" s="368" t="str">
        <f>IF(L197="","",IF(VLOOKUP(L197,'G-3 Multipliers'!$L$3:$N$6,3,FALSE)=0,"Spatial Data Missing",VLOOKUP(L197,'G-3 Multipliers'!$L$3:$N$6,3,FALSE)))</f>
        <v/>
      </c>
      <c r="O197" s="362" t="str">
        <f t="shared" si="12"/>
        <v/>
      </c>
      <c r="P197" s="63"/>
      <c r="Q197" s="63"/>
      <c r="R197" s="370" t="str">
        <f t="shared" si="14"/>
        <v/>
      </c>
      <c r="S197" s="383" t="str">
        <f t="shared" si="15"/>
        <v/>
      </c>
      <c r="T197" s="384"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losses",P197&gt;=O197),"Low",VLOOKUP(F197,'G-3 Multipliers'!$A$2:$E$134,4,FALSE))))</f>
        <v/>
      </c>
      <c r="X197" s="386" t="str">
        <f>IFERROR(IF(E197="","",VLOOKUP(W197, 'G-3 Multipliers'!$P$2:$Q$6,2,FALSE)),"")</f>
        <v/>
      </c>
      <c r="Y197" s="390" t="str">
        <f t="shared" si="16"/>
        <v/>
      </c>
      <c r="Z197" s="194"/>
      <c r="AA197" s="195"/>
      <c r="AB197" s="120"/>
      <c r="AE197" s="40" t="str">
        <f t="shared" si="13"/>
        <v/>
      </c>
    </row>
    <row r="198" spans="1:31" x14ac:dyDescent="0.25">
      <c r="A198" s="35" t="str">
        <f>IFERROR(INDEX('G-8 Condition Look up'!$I$4:$I$135,MATCH(F198,'G-8 Condition Look up'!$A$4:$A$135,0)),"")</f>
        <v/>
      </c>
      <c r="C198" s="299" t="str">
        <f>IFERROR(INDEX('G-1 All Habitats'!$AG$3:$AG$17,MATCH(D198,'G-1 All Habitats'!$AF$3:$AF$17,0)),"")</f>
        <v/>
      </c>
      <c r="D198" s="54"/>
      <c r="E198" s="61"/>
      <c r="F198" s="296" t="str">
        <f>IFERROR(INDEX('G-1 All Habitats'!$B$3:$B$134,MATCH(E198,'G-1 All Habitats'!$A$3:$A$134,0)),"")</f>
        <v/>
      </c>
      <c r="G198" s="53"/>
      <c r="H198" s="362" t="str">
        <f>IF(F198="","",VLOOKUP(F198,'G-1 All Habitats'!$B$2:$M$134,10,FALSE))</f>
        <v/>
      </c>
      <c r="I198" s="363" t="str">
        <f>IFERROR(VLOOKUP(H198,'G-1 All Habitats'!$V$3:$W$7,2,FALSE),"")</f>
        <v/>
      </c>
      <c r="J198" s="54"/>
      <c r="K198" s="363" t="str">
        <f>IFERROR(INDEX('G-8 Condition Look up'!$A$3:$H$135,MATCH(F198,'G-8 Condition Look up'!$A$3:$A$135,0),MATCH(J198,'G-8 Condition Look up'!$A$3:$H$3,0)),"")</f>
        <v/>
      </c>
      <c r="L198" s="54"/>
      <c r="M198" s="370" t="str">
        <f>IF(L198="","",IF(VLOOKUP(L198,'G-3 Multipliers'!$L$3:$N$6,2,FALSE)=0,"Spatial Data Missing",VLOOKUP(L198,'G-3 Multipliers'!$L$3:$N$6,2,FALSE)))</f>
        <v/>
      </c>
      <c r="N198" s="368" t="str">
        <f>IF(L198="","",IF(VLOOKUP(L198,'G-3 Multipliers'!$L$3:$N$6,3,FALSE)=0,"Spatial Data Missing",VLOOKUP(L198,'G-3 Multipliers'!$L$3:$N$6,3,FALSE)))</f>
        <v/>
      </c>
      <c r="O198" s="362" t="str">
        <f t="shared" si="12"/>
        <v/>
      </c>
      <c r="P198" s="63"/>
      <c r="Q198" s="63"/>
      <c r="R198" s="370" t="str">
        <f t="shared" si="14"/>
        <v/>
      </c>
      <c r="S198" s="383" t="str">
        <f t="shared" si="15"/>
        <v/>
      </c>
      <c r="T198" s="384"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losses",P198&gt;=O198),"Low",VLOOKUP(F198,'G-3 Multipliers'!$A$2:$E$134,4,FALSE))))</f>
        <v/>
      </c>
      <c r="X198" s="386" t="str">
        <f>IFERROR(IF(E198="","",VLOOKUP(W198, 'G-3 Multipliers'!$P$2:$Q$6,2,FALSE)),"")</f>
        <v/>
      </c>
      <c r="Y198" s="390" t="str">
        <f t="shared" si="16"/>
        <v/>
      </c>
      <c r="Z198" s="194"/>
      <c r="AA198" s="195"/>
      <c r="AB198" s="120"/>
      <c r="AE198" s="40" t="str">
        <f t="shared" si="13"/>
        <v/>
      </c>
    </row>
    <row r="199" spans="1:31" x14ac:dyDescent="0.25">
      <c r="A199" s="35" t="str">
        <f>IFERROR(INDEX('G-8 Condition Look up'!$I$4:$I$135,MATCH(F199,'G-8 Condition Look up'!$A$4:$A$135,0)),"")</f>
        <v/>
      </c>
      <c r="C199" s="299" t="str">
        <f>IFERROR(INDEX('G-1 All Habitats'!$AG$3:$AG$17,MATCH(D199,'G-1 All Habitats'!$AF$3:$AF$17,0)),"")</f>
        <v/>
      </c>
      <c r="D199" s="54"/>
      <c r="E199" s="61"/>
      <c r="F199" s="296" t="str">
        <f>IFERROR(INDEX('G-1 All Habitats'!$B$3:$B$134,MATCH(E199,'G-1 All Habitats'!$A$3:$A$134,0)),"")</f>
        <v/>
      </c>
      <c r="G199" s="53"/>
      <c r="H199" s="362" t="str">
        <f>IF(F199="","",VLOOKUP(F199,'G-1 All Habitats'!$B$2:$M$134,10,FALSE))</f>
        <v/>
      </c>
      <c r="I199" s="363" t="str">
        <f>IFERROR(VLOOKUP(H199,'G-1 All Habitats'!$V$3:$W$7,2,FALSE),"")</f>
        <v/>
      </c>
      <c r="J199" s="54"/>
      <c r="K199" s="363" t="str">
        <f>IFERROR(INDEX('G-8 Condition Look up'!$A$3:$H$135,MATCH(F199,'G-8 Condition Look up'!$A$3:$A$135,0),MATCH(J199,'G-8 Condition Look up'!$A$3:$H$3,0)),"")</f>
        <v/>
      </c>
      <c r="L199" s="54"/>
      <c r="M199" s="370" t="str">
        <f>IF(L199="","",IF(VLOOKUP(L199,'G-3 Multipliers'!$L$3:$N$6,2,FALSE)=0,"Spatial Data Missing",VLOOKUP(L199,'G-3 Multipliers'!$L$3:$N$6,2,FALSE)))</f>
        <v/>
      </c>
      <c r="N199" s="368" t="str">
        <f>IF(L199="","",IF(VLOOKUP(L199,'G-3 Multipliers'!$L$3:$N$6,3,FALSE)=0,"Spatial Data Missing",VLOOKUP(L199,'G-3 Multipliers'!$L$3:$N$6,3,FALSE)))</f>
        <v/>
      </c>
      <c r="O199" s="362" t="str">
        <f t="shared" si="12"/>
        <v/>
      </c>
      <c r="P199" s="63"/>
      <c r="Q199" s="63"/>
      <c r="R199" s="370" t="str">
        <f t="shared" si="14"/>
        <v/>
      </c>
      <c r="S199" s="383" t="str">
        <f t="shared" si="15"/>
        <v/>
      </c>
      <c r="T199" s="384"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losses",P199&gt;=O199),"Low",VLOOKUP(F199,'G-3 Multipliers'!$A$2:$E$134,4,FALSE))))</f>
        <v/>
      </c>
      <c r="X199" s="386" t="str">
        <f>IFERROR(IF(E199="","",VLOOKUP(W199, 'G-3 Multipliers'!$P$2:$Q$6,2,FALSE)),"")</f>
        <v/>
      </c>
      <c r="Y199" s="390" t="str">
        <f t="shared" si="16"/>
        <v/>
      </c>
      <c r="Z199" s="194"/>
      <c r="AA199" s="195"/>
      <c r="AB199" s="120"/>
      <c r="AE199" s="40" t="str">
        <f t="shared" si="13"/>
        <v/>
      </c>
    </row>
    <row r="200" spans="1:31" x14ac:dyDescent="0.25">
      <c r="A200" s="35" t="str">
        <f>IFERROR(INDEX('G-8 Condition Look up'!$I$4:$I$135,MATCH(F200,'G-8 Condition Look up'!$A$4:$A$135,0)),"")</f>
        <v/>
      </c>
      <c r="C200" s="299" t="str">
        <f>IFERROR(INDEX('G-1 All Habitats'!$AG$3:$AG$17,MATCH(D200,'G-1 All Habitats'!$AF$3:$AF$17,0)),"")</f>
        <v/>
      </c>
      <c r="D200" s="54"/>
      <c r="E200" s="61"/>
      <c r="F200" s="296" t="str">
        <f>IFERROR(INDEX('G-1 All Habitats'!$B$3:$B$134,MATCH(E200,'G-1 All Habitats'!$A$3:$A$134,0)),"")</f>
        <v/>
      </c>
      <c r="G200" s="53"/>
      <c r="H200" s="362" t="str">
        <f>IF(F200="","",VLOOKUP(F200,'G-1 All Habitats'!$B$2:$M$134,10,FALSE))</f>
        <v/>
      </c>
      <c r="I200" s="363" t="str">
        <f>IFERROR(VLOOKUP(H200,'G-1 All Habitats'!$V$3:$W$7,2,FALSE),"")</f>
        <v/>
      </c>
      <c r="J200" s="54"/>
      <c r="K200" s="363" t="str">
        <f>IFERROR(INDEX('G-8 Condition Look up'!$A$3:$H$135,MATCH(F200,'G-8 Condition Look up'!$A$3:$A$135,0),MATCH(J200,'G-8 Condition Look up'!$A$3:$H$3,0)),"")</f>
        <v/>
      </c>
      <c r="L200" s="54"/>
      <c r="M200" s="370" t="str">
        <f>IF(L200="","",IF(VLOOKUP(L200,'G-3 Multipliers'!$L$3:$N$6,2,FALSE)=0,"Spatial Data Missing",VLOOKUP(L200,'G-3 Multipliers'!$L$3:$N$6,2,FALSE)))</f>
        <v/>
      </c>
      <c r="N200" s="368" t="str">
        <f>IF(L200="","",IF(VLOOKUP(L200,'G-3 Multipliers'!$L$3:$N$6,3,FALSE)=0,"Spatial Data Missing",VLOOKUP(L200,'G-3 Multipliers'!$L$3:$N$6,3,FALSE)))</f>
        <v/>
      </c>
      <c r="O200" s="362" t="str">
        <f t="shared" si="12"/>
        <v/>
      </c>
      <c r="P200" s="63"/>
      <c r="Q200" s="63"/>
      <c r="R200" s="370" t="str">
        <f t="shared" si="14"/>
        <v/>
      </c>
      <c r="S200" s="383" t="str">
        <f t="shared" si="15"/>
        <v/>
      </c>
      <c r="T200" s="384"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losses",P200&gt;=O200),"Low",VLOOKUP(F200,'G-3 Multipliers'!$A$2:$E$134,4,FALSE))))</f>
        <v/>
      </c>
      <c r="X200" s="386" t="str">
        <f>IFERROR(IF(E200="","",VLOOKUP(W200, 'G-3 Multipliers'!$P$2:$Q$6,2,FALSE)),"")</f>
        <v/>
      </c>
      <c r="Y200" s="390" t="str">
        <f t="shared" si="16"/>
        <v/>
      </c>
      <c r="Z200" s="194"/>
      <c r="AA200" s="195"/>
      <c r="AB200" s="120"/>
      <c r="AE200" s="40" t="str">
        <f t="shared" si="13"/>
        <v/>
      </c>
    </row>
    <row r="201" spans="1:31" x14ac:dyDescent="0.25">
      <c r="A201" s="35" t="str">
        <f>IFERROR(INDEX('G-8 Condition Look up'!$I$4:$I$135,MATCH(F201,'G-8 Condition Look up'!$A$4:$A$135,0)),"")</f>
        <v/>
      </c>
      <c r="C201" s="299" t="str">
        <f>IFERROR(INDEX('G-1 All Habitats'!$AG$3:$AG$17,MATCH(D201,'G-1 All Habitats'!$AF$3:$AF$17,0)),"")</f>
        <v/>
      </c>
      <c r="D201" s="54"/>
      <c r="E201" s="61"/>
      <c r="F201" s="296" t="str">
        <f>IFERROR(INDEX('G-1 All Habitats'!$B$3:$B$134,MATCH(E201,'G-1 All Habitats'!$A$3:$A$134,0)),"")</f>
        <v/>
      </c>
      <c r="G201" s="53"/>
      <c r="H201" s="362" t="str">
        <f>IF(F201="","",VLOOKUP(F201,'G-1 All Habitats'!$B$2:$M$134,10,FALSE))</f>
        <v/>
      </c>
      <c r="I201" s="363" t="str">
        <f>IFERROR(VLOOKUP(H201,'G-1 All Habitats'!$V$3:$W$7,2,FALSE),"")</f>
        <v/>
      </c>
      <c r="J201" s="54"/>
      <c r="K201" s="363" t="str">
        <f>IFERROR(INDEX('G-8 Condition Look up'!$A$3:$H$135,MATCH(F201,'G-8 Condition Look up'!$A$3:$A$135,0),MATCH(J201,'G-8 Condition Look up'!$A$3:$H$3,0)),"")</f>
        <v/>
      </c>
      <c r="L201" s="54"/>
      <c r="M201" s="370" t="str">
        <f>IF(L201="","",IF(VLOOKUP(L201,'G-3 Multipliers'!$L$3:$N$6,2,FALSE)=0,"Spatial Data Missing",VLOOKUP(L201,'G-3 Multipliers'!$L$3:$N$6,2,FALSE)))</f>
        <v/>
      </c>
      <c r="N201" s="368" t="str">
        <f>IF(L201="","",IF(VLOOKUP(L201,'G-3 Multipliers'!$L$3:$N$6,3,FALSE)=0,"Spatial Data Missing",VLOOKUP(L201,'G-3 Multipliers'!$L$3:$N$6,3,FALSE)))</f>
        <v/>
      </c>
      <c r="O201" s="362" t="str">
        <f t="shared" si="12"/>
        <v/>
      </c>
      <c r="P201" s="63"/>
      <c r="Q201" s="63"/>
      <c r="R201" s="370" t="str">
        <f t="shared" si="14"/>
        <v/>
      </c>
      <c r="S201" s="383" t="str">
        <f t="shared" si="15"/>
        <v/>
      </c>
      <c r="T201" s="384"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losses",P201&gt;=O201),"Low",VLOOKUP(F201,'G-3 Multipliers'!$A$2:$E$134,4,FALSE))))</f>
        <v/>
      </c>
      <c r="X201" s="386" t="str">
        <f>IFERROR(IF(E201="","",VLOOKUP(W201, 'G-3 Multipliers'!$P$2:$Q$6,2,FALSE)),"")</f>
        <v/>
      </c>
      <c r="Y201" s="390" t="str">
        <f t="shared" si="16"/>
        <v/>
      </c>
      <c r="Z201" s="194"/>
      <c r="AA201" s="195"/>
      <c r="AB201" s="120"/>
      <c r="AE201" s="40" t="str">
        <f t="shared" si="13"/>
        <v/>
      </c>
    </row>
    <row r="202" spans="1:31" x14ac:dyDescent="0.25">
      <c r="A202" s="35" t="str">
        <f>IFERROR(INDEX('G-8 Condition Look up'!$I$4:$I$135,MATCH(F202,'G-8 Condition Look up'!$A$4:$A$135,0)),"")</f>
        <v/>
      </c>
      <c r="C202" s="299" t="str">
        <f>IFERROR(INDEX('G-1 All Habitats'!$AG$3:$AG$17,MATCH(D202,'G-1 All Habitats'!$AF$3:$AF$17,0)),"")</f>
        <v/>
      </c>
      <c r="D202" s="54"/>
      <c r="E202" s="61"/>
      <c r="F202" s="296" t="str">
        <f>IFERROR(INDEX('G-1 All Habitats'!$B$3:$B$134,MATCH(E202,'G-1 All Habitats'!$A$3:$A$134,0)),"")</f>
        <v/>
      </c>
      <c r="G202" s="53"/>
      <c r="H202" s="362" t="str">
        <f>IF(F202="","",VLOOKUP(F202,'G-1 All Habitats'!$B$2:$M$134,10,FALSE))</f>
        <v/>
      </c>
      <c r="I202" s="363" t="str">
        <f>IFERROR(VLOOKUP(H202,'G-1 All Habitats'!$V$3:$W$7,2,FALSE),"")</f>
        <v/>
      </c>
      <c r="J202" s="54"/>
      <c r="K202" s="363" t="str">
        <f>IFERROR(INDEX('G-8 Condition Look up'!$A$3:$H$135,MATCH(F202,'G-8 Condition Look up'!$A$3:$A$135,0),MATCH(J202,'G-8 Condition Look up'!$A$3:$H$3,0)),"")</f>
        <v/>
      </c>
      <c r="L202" s="54"/>
      <c r="M202" s="370" t="str">
        <f>IF(L202="","",IF(VLOOKUP(L202,'G-3 Multipliers'!$L$3:$N$6,2,FALSE)=0,"Spatial Data Missing",VLOOKUP(L202,'G-3 Multipliers'!$L$3:$N$6,2,FALSE)))</f>
        <v/>
      </c>
      <c r="N202" s="368" t="str">
        <f>IF(L202="","",IF(VLOOKUP(L202,'G-3 Multipliers'!$L$3:$N$6,3,FALSE)=0,"Spatial Data Missing",VLOOKUP(L202,'G-3 Multipliers'!$L$3:$N$6,3,FALSE)))</f>
        <v/>
      </c>
      <c r="O202" s="362" t="str">
        <f t="shared" si="12"/>
        <v/>
      </c>
      <c r="P202" s="63"/>
      <c r="Q202" s="63"/>
      <c r="R202" s="370" t="str">
        <f t="shared" si="14"/>
        <v/>
      </c>
      <c r="S202" s="383" t="str">
        <f t="shared" si="15"/>
        <v/>
      </c>
      <c r="T202" s="384"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losses",P202&gt;=O202),"Low",VLOOKUP(F202,'G-3 Multipliers'!$A$2:$E$134,4,FALSE))))</f>
        <v/>
      </c>
      <c r="X202" s="386" t="str">
        <f>IFERROR(IF(E202="","",VLOOKUP(W202, 'G-3 Multipliers'!$P$2:$Q$6,2,FALSE)),"")</f>
        <v/>
      </c>
      <c r="Y202" s="390" t="str">
        <f t="shared" si="16"/>
        <v/>
      </c>
      <c r="Z202" s="194"/>
      <c r="AA202" s="195"/>
      <c r="AB202" s="120"/>
      <c r="AE202" s="40" t="str">
        <f t="shared" si="13"/>
        <v/>
      </c>
    </row>
    <row r="203" spans="1:31" x14ac:dyDescent="0.25">
      <c r="A203" s="35" t="str">
        <f>IFERROR(INDEX('G-8 Condition Look up'!$I$4:$I$135,MATCH(F203,'G-8 Condition Look up'!$A$4:$A$135,0)),"")</f>
        <v/>
      </c>
      <c r="C203" s="299" t="str">
        <f>IFERROR(INDEX('G-1 All Habitats'!$AG$3:$AG$17,MATCH(D203,'G-1 All Habitats'!$AF$3:$AF$17,0)),"")</f>
        <v/>
      </c>
      <c r="D203" s="54"/>
      <c r="E203" s="61"/>
      <c r="F203" s="296" t="str">
        <f>IFERROR(INDEX('G-1 All Habitats'!$B$3:$B$134,MATCH(E203,'G-1 All Habitats'!$A$3:$A$134,0)),"")</f>
        <v/>
      </c>
      <c r="G203" s="53"/>
      <c r="H203" s="362" t="str">
        <f>IF(F203="","",VLOOKUP(F203,'G-1 All Habitats'!$B$2:$M$134,10,FALSE))</f>
        <v/>
      </c>
      <c r="I203" s="363" t="str">
        <f>IFERROR(VLOOKUP(H203,'G-1 All Habitats'!$V$3:$W$7,2,FALSE),"")</f>
        <v/>
      </c>
      <c r="J203" s="54"/>
      <c r="K203" s="363" t="str">
        <f>IFERROR(INDEX('G-8 Condition Look up'!$A$3:$H$135,MATCH(F203,'G-8 Condition Look up'!$A$3:$A$135,0),MATCH(J203,'G-8 Condition Look up'!$A$3:$H$3,0)),"")</f>
        <v/>
      </c>
      <c r="L203" s="54"/>
      <c r="M203" s="370" t="str">
        <f>IF(L203="","",IF(VLOOKUP(L203,'G-3 Multipliers'!$L$3:$N$6,2,FALSE)=0,"Spatial Data Missing",VLOOKUP(L203,'G-3 Multipliers'!$L$3:$N$6,2,FALSE)))</f>
        <v/>
      </c>
      <c r="N203" s="368" t="str">
        <f>IF(L203="","",IF(VLOOKUP(L203,'G-3 Multipliers'!$L$3:$N$6,3,FALSE)=0,"Spatial Data Missing",VLOOKUP(L203,'G-3 Multipliers'!$L$3:$N$6,3,FALSE)))</f>
        <v/>
      </c>
      <c r="O203" s="362" t="str">
        <f t="shared" ref="O203:O256" si="18">IFERROR(INDEX(TemporalData,MATCH(F203,TemporalHabitats,0),MATCH(J203,TemporalConditions,0)),"")</f>
        <v/>
      </c>
      <c r="P203" s="63"/>
      <c r="Q203" s="63"/>
      <c r="R203" s="370" t="str">
        <f t="shared" si="14"/>
        <v/>
      </c>
      <c r="S203" s="383" t="str">
        <f t="shared" si="15"/>
        <v/>
      </c>
      <c r="T203" s="384"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losses",P203&gt;=O203),"Low",VLOOKUP(F203,'G-3 Multipliers'!$A$2:$E$134,4,FALSE))))</f>
        <v/>
      </c>
      <c r="X203" s="386" t="str">
        <f>IFERROR(IF(E203="","",VLOOKUP(W203, 'G-3 Multipliers'!$P$2:$Q$6,2,FALSE)),"")</f>
        <v/>
      </c>
      <c r="Y203" s="390" t="str">
        <f t="shared" si="16"/>
        <v/>
      </c>
      <c r="Z203" s="194"/>
      <c r="AA203" s="195"/>
      <c r="AB203" s="120"/>
      <c r="AE203" s="40" t="str">
        <f t="shared" ref="AE203:AE256" si="19">IFERROR(INDEX(TemporalData,MATCH(F203,TemporalHabitats,0),MATCH($AE$10,TemporalConditions,0)),"")</f>
        <v/>
      </c>
    </row>
    <row r="204" spans="1:31" x14ac:dyDescent="0.25">
      <c r="A204" s="35" t="str">
        <f>IFERROR(INDEX('G-8 Condition Look up'!$I$4:$I$135,MATCH(F204,'G-8 Condition Look up'!$A$4:$A$135,0)),"")</f>
        <v/>
      </c>
      <c r="C204" s="299" t="str">
        <f>IFERROR(INDEX('G-1 All Habitats'!$AG$3:$AG$17,MATCH(D204,'G-1 All Habitats'!$AF$3:$AF$17,0)),"")</f>
        <v/>
      </c>
      <c r="D204" s="54"/>
      <c r="E204" s="61"/>
      <c r="F204" s="296" t="str">
        <f>IFERROR(INDEX('G-1 All Habitats'!$B$3:$B$134,MATCH(E204,'G-1 All Habitats'!$A$3:$A$134,0)),"")</f>
        <v/>
      </c>
      <c r="G204" s="53"/>
      <c r="H204" s="362" t="str">
        <f>IF(F204="","",VLOOKUP(F204,'G-1 All Habitats'!$B$2:$M$134,10,FALSE))</f>
        <v/>
      </c>
      <c r="I204" s="363" t="str">
        <f>IFERROR(VLOOKUP(H204,'G-1 All Habitats'!$V$3:$W$7,2,FALSE),"")</f>
        <v/>
      </c>
      <c r="J204" s="54"/>
      <c r="K204" s="363" t="str">
        <f>IFERROR(INDEX('G-8 Condition Look up'!$A$3:$H$135,MATCH(F204,'G-8 Condition Look up'!$A$3:$A$135,0),MATCH(J204,'G-8 Condition Look up'!$A$3:$H$3,0)),"")</f>
        <v/>
      </c>
      <c r="L204" s="54"/>
      <c r="M204" s="370" t="str">
        <f>IF(L204="","",IF(VLOOKUP(L204,'G-3 Multipliers'!$L$3:$N$6,2,FALSE)=0,"Spatial Data Missing",VLOOKUP(L204,'G-3 Multipliers'!$L$3:$N$6,2,FALSE)))</f>
        <v/>
      </c>
      <c r="N204" s="368" t="str">
        <f>IF(L204="","",IF(VLOOKUP(L204,'G-3 Multipliers'!$L$3:$N$6,3,FALSE)=0,"Spatial Data Missing",VLOOKUP(L204,'G-3 Multipliers'!$L$3:$N$6,3,FALSE)))</f>
        <v/>
      </c>
      <c r="O204" s="362" t="str">
        <f t="shared" si="18"/>
        <v/>
      </c>
      <c r="P204" s="63"/>
      <c r="Q204" s="63"/>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383" t="str">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
      </c>
      <c r="T204" s="384"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losses",P204&gt;=O204),"Low",VLOOKUP(F204,'G-3 Multipliers'!$A$2:$E$134,4,FALSE))))</f>
        <v/>
      </c>
      <c r="X204" s="386" t="str">
        <f>IFERROR(IF(E204="","",VLOOKUP(W204, 'G-3 Multipliers'!$P$2:$Q$6,2,FALSE)),"")</f>
        <v/>
      </c>
      <c r="Y204" s="390" t="str">
        <f t="shared" ref="Y204:Y256" si="22">IFERROR(G204*I204*K204*N204*T204*X204,"")</f>
        <v/>
      </c>
      <c r="Z204" s="194"/>
      <c r="AA204" s="195"/>
      <c r="AB204" s="120"/>
      <c r="AE204" s="40" t="str">
        <f t="shared" si="19"/>
        <v/>
      </c>
    </row>
    <row r="205" spans="1:31" x14ac:dyDescent="0.25">
      <c r="A205" s="35" t="str">
        <f>IFERROR(INDEX('G-8 Condition Look up'!$I$4:$I$135,MATCH(F205,'G-8 Condition Look up'!$A$4:$A$135,0)),"")</f>
        <v/>
      </c>
      <c r="C205" s="299" t="str">
        <f>IFERROR(INDEX('G-1 All Habitats'!$AG$3:$AG$17,MATCH(D205,'G-1 All Habitats'!$AF$3:$AF$17,0)),"")</f>
        <v/>
      </c>
      <c r="D205" s="54"/>
      <c r="E205" s="61"/>
      <c r="F205" s="296" t="str">
        <f>IFERROR(INDEX('G-1 All Habitats'!$B$3:$B$134,MATCH(E205,'G-1 All Habitats'!$A$3:$A$134,0)),"")</f>
        <v/>
      </c>
      <c r="G205" s="53"/>
      <c r="H205" s="362" t="str">
        <f>IF(F205="","",VLOOKUP(F205,'G-1 All Habitats'!$B$2:$M$134,10,FALSE))</f>
        <v/>
      </c>
      <c r="I205" s="363" t="str">
        <f>IFERROR(VLOOKUP(H205,'G-1 All Habitats'!$V$3:$W$7,2,FALSE),"")</f>
        <v/>
      </c>
      <c r="J205" s="54"/>
      <c r="K205" s="363" t="str">
        <f>IFERROR(INDEX('G-8 Condition Look up'!$A$3:$H$135,MATCH(F205,'G-8 Condition Look up'!$A$3:$A$135,0),MATCH(J205,'G-8 Condition Look up'!$A$3:$H$3,0)),"")</f>
        <v/>
      </c>
      <c r="L205" s="54"/>
      <c r="M205" s="370" t="str">
        <f>IF(L205="","",IF(VLOOKUP(L205,'G-3 Multipliers'!$L$3:$N$6,2,FALSE)=0,"Spatial Data Missing",VLOOKUP(L205,'G-3 Multipliers'!$L$3:$N$6,2,FALSE)))</f>
        <v/>
      </c>
      <c r="N205" s="368" t="str">
        <f>IF(L205="","",IF(VLOOKUP(L205,'G-3 Multipliers'!$L$3:$N$6,3,FALSE)=0,"Spatial Data Missing",VLOOKUP(L205,'G-3 Multipliers'!$L$3:$N$6,3,FALSE)))</f>
        <v/>
      </c>
      <c r="O205" s="362" t="str">
        <f t="shared" si="18"/>
        <v/>
      </c>
      <c r="P205" s="63"/>
      <c r="Q205" s="63"/>
      <c r="R205" s="370" t="str">
        <f t="shared" si="20"/>
        <v/>
      </c>
      <c r="S205" s="383" t="str">
        <f t="shared" si="21"/>
        <v/>
      </c>
      <c r="T205" s="384"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
      </c>
      <c r="W205" s="382" t="str">
        <f>IF(E205="","",IF(AND(V205="Standard difficulty applied",O205&gt;P205),U205,IF(AND(V205="Low Difficulty - only applicable if all habitat created before losses",P205&gt;=O205),"Low",VLOOKUP(F205,'G-3 Multipliers'!$A$2:$E$134,4,FALSE))))</f>
        <v/>
      </c>
      <c r="X205" s="386" t="str">
        <f>IFERROR(IF(E205="","",VLOOKUP(W205, 'G-3 Multipliers'!$P$2:$Q$6,2,FALSE)),"")</f>
        <v/>
      </c>
      <c r="Y205" s="390" t="str">
        <f t="shared" si="22"/>
        <v/>
      </c>
      <c r="Z205" s="194"/>
      <c r="AA205" s="195"/>
      <c r="AB205" s="120"/>
      <c r="AE205" s="40" t="str">
        <f t="shared" si="19"/>
        <v/>
      </c>
    </row>
    <row r="206" spans="1:31" x14ac:dyDescent="0.25">
      <c r="A206" s="35" t="str">
        <f>IFERROR(INDEX('G-8 Condition Look up'!$I$4:$I$135,MATCH(F206,'G-8 Condition Look up'!$A$4:$A$135,0)),"")</f>
        <v/>
      </c>
      <c r="C206" s="299" t="str">
        <f>IFERROR(INDEX('G-1 All Habitats'!$AG$3:$AG$17,MATCH(D206,'G-1 All Habitats'!$AF$3:$AF$17,0)),"")</f>
        <v/>
      </c>
      <c r="D206" s="54"/>
      <c r="E206" s="61"/>
      <c r="F206" s="296" t="str">
        <f>IFERROR(INDEX('G-1 All Habitats'!$B$3:$B$134,MATCH(E206,'G-1 All Habitats'!$A$3:$A$134,0)),"")</f>
        <v/>
      </c>
      <c r="G206" s="53"/>
      <c r="H206" s="362" t="str">
        <f>IF(F206="","",VLOOKUP(F206,'G-1 All Habitats'!$B$2:$M$134,10,FALSE))</f>
        <v/>
      </c>
      <c r="I206" s="363" t="str">
        <f>IFERROR(VLOOKUP(H206,'G-1 All Habitats'!$V$3:$W$7,2,FALSE),"")</f>
        <v/>
      </c>
      <c r="J206" s="54"/>
      <c r="K206" s="363" t="str">
        <f>IFERROR(INDEX('G-8 Condition Look up'!$A$3:$H$135,MATCH(F206,'G-8 Condition Look up'!$A$3:$A$135,0),MATCH(J206,'G-8 Condition Look up'!$A$3:$H$3,0)),"")</f>
        <v/>
      </c>
      <c r="L206" s="54"/>
      <c r="M206" s="370" t="str">
        <f>IF(L206="","",IF(VLOOKUP(L206,'G-3 Multipliers'!$L$3:$N$6,2,FALSE)=0,"Spatial Data Missing",VLOOKUP(L206,'G-3 Multipliers'!$L$3:$N$6,2,FALSE)))</f>
        <v/>
      </c>
      <c r="N206" s="368" t="str">
        <f>IF(L206="","",IF(VLOOKUP(L206,'G-3 Multipliers'!$L$3:$N$6,3,FALSE)=0,"Spatial Data Missing",VLOOKUP(L206,'G-3 Multipliers'!$L$3:$N$6,3,FALSE)))</f>
        <v/>
      </c>
      <c r="O206" s="362" t="str">
        <f t="shared" si="18"/>
        <v/>
      </c>
      <c r="P206" s="63"/>
      <c r="Q206" s="63"/>
      <c r="R206" s="370" t="str">
        <f t="shared" si="20"/>
        <v/>
      </c>
      <c r="S206" s="383" t="str">
        <f t="shared" si="21"/>
        <v/>
      </c>
      <c r="T206" s="384"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losses",P206&gt;=O206),"Low",VLOOKUP(F206,'G-3 Multipliers'!$A$2:$E$134,4,FALSE))))</f>
        <v/>
      </c>
      <c r="X206" s="386" t="str">
        <f>IFERROR(IF(E206="","",VLOOKUP(W206, 'G-3 Multipliers'!$P$2:$Q$6,2,FALSE)),"")</f>
        <v/>
      </c>
      <c r="Y206" s="390" t="str">
        <f t="shared" si="22"/>
        <v/>
      </c>
      <c r="Z206" s="194"/>
      <c r="AA206" s="195"/>
      <c r="AB206" s="120"/>
      <c r="AE206" s="40" t="str">
        <f t="shared" si="19"/>
        <v/>
      </c>
    </row>
    <row r="207" spans="1:31" x14ac:dyDescent="0.25">
      <c r="A207" s="35" t="str">
        <f>IFERROR(INDEX('G-8 Condition Look up'!$I$4:$I$135,MATCH(F207,'G-8 Condition Look up'!$A$4:$A$135,0)),"")</f>
        <v/>
      </c>
      <c r="C207" s="299" t="str">
        <f>IFERROR(INDEX('G-1 All Habitats'!$AG$3:$AG$17,MATCH(D207,'G-1 All Habitats'!$AF$3:$AF$17,0)),"")</f>
        <v/>
      </c>
      <c r="D207" s="54"/>
      <c r="E207" s="61"/>
      <c r="F207" s="296" t="str">
        <f>IFERROR(INDEX('G-1 All Habitats'!$B$3:$B$134,MATCH(E207,'G-1 All Habitats'!$A$3:$A$134,0)),"")</f>
        <v/>
      </c>
      <c r="G207" s="53"/>
      <c r="H207" s="362" t="str">
        <f>IF(F207="","",VLOOKUP(F207,'G-1 All Habitats'!$B$2:$M$134,10,FALSE))</f>
        <v/>
      </c>
      <c r="I207" s="363" t="str">
        <f>IFERROR(VLOOKUP(H207,'G-1 All Habitats'!$V$3:$W$7,2,FALSE),"")</f>
        <v/>
      </c>
      <c r="J207" s="54"/>
      <c r="K207" s="363" t="str">
        <f>IFERROR(INDEX('G-8 Condition Look up'!$A$3:$H$135,MATCH(F207,'G-8 Condition Look up'!$A$3:$A$135,0),MATCH(J207,'G-8 Condition Look up'!$A$3:$H$3,0)),"")</f>
        <v/>
      </c>
      <c r="L207" s="54"/>
      <c r="M207" s="370" t="str">
        <f>IF(L207="","",IF(VLOOKUP(L207,'G-3 Multipliers'!$L$3:$N$6,2,FALSE)=0,"Spatial Data Missing",VLOOKUP(L207,'G-3 Multipliers'!$L$3:$N$6,2,FALSE)))</f>
        <v/>
      </c>
      <c r="N207" s="368" t="str">
        <f>IF(L207="","",IF(VLOOKUP(L207,'G-3 Multipliers'!$L$3:$N$6,3,FALSE)=0,"Spatial Data Missing",VLOOKUP(L207,'G-3 Multipliers'!$L$3:$N$6,3,FALSE)))</f>
        <v/>
      </c>
      <c r="O207" s="362" t="str">
        <f t="shared" si="18"/>
        <v/>
      </c>
      <c r="P207" s="63"/>
      <c r="Q207" s="63"/>
      <c r="R207" s="370" t="str">
        <f t="shared" si="20"/>
        <v/>
      </c>
      <c r="S207" s="383" t="str">
        <f t="shared" si="21"/>
        <v/>
      </c>
      <c r="T207" s="384"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losses",P207&gt;=O207),"Low",VLOOKUP(F207,'G-3 Multipliers'!$A$2:$E$134,4,FALSE))))</f>
        <v/>
      </c>
      <c r="X207" s="386" t="str">
        <f>IFERROR(IF(E207="","",VLOOKUP(W207, 'G-3 Multipliers'!$P$2:$Q$6,2,FALSE)),"")</f>
        <v/>
      </c>
      <c r="Y207" s="390" t="str">
        <f t="shared" si="22"/>
        <v/>
      </c>
      <c r="Z207" s="194"/>
      <c r="AA207" s="195"/>
      <c r="AB207" s="120"/>
      <c r="AE207" s="40" t="str">
        <f t="shared" si="19"/>
        <v/>
      </c>
    </row>
    <row r="208" spans="1:31" x14ac:dyDescent="0.25">
      <c r="A208" s="35" t="str">
        <f>IFERROR(INDEX('G-8 Condition Look up'!$I$4:$I$135,MATCH(F208,'G-8 Condition Look up'!$A$4:$A$135,0)),"")</f>
        <v/>
      </c>
      <c r="C208" s="299" t="str">
        <f>IFERROR(INDEX('G-1 All Habitats'!$AG$3:$AG$17,MATCH(D208,'G-1 All Habitats'!$AF$3:$AF$17,0)),"")</f>
        <v/>
      </c>
      <c r="D208" s="54"/>
      <c r="E208" s="61"/>
      <c r="F208" s="296" t="str">
        <f>IFERROR(INDEX('G-1 All Habitats'!$B$3:$B$134,MATCH(E208,'G-1 All Habitats'!$A$3:$A$134,0)),"")</f>
        <v/>
      </c>
      <c r="G208" s="53"/>
      <c r="H208" s="362" t="str">
        <f>IF(F208="","",VLOOKUP(F208,'G-1 All Habitats'!$B$2:$M$134,10,FALSE))</f>
        <v/>
      </c>
      <c r="I208" s="363" t="str">
        <f>IFERROR(VLOOKUP(H208,'G-1 All Habitats'!$V$3:$W$7,2,FALSE),"")</f>
        <v/>
      </c>
      <c r="J208" s="54"/>
      <c r="K208" s="363" t="str">
        <f>IFERROR(INDEX('G-8 Condition Look up'!$A$3:$H$135,MATCH(F208,'G-8 Condition Look up'!$A$3:$A$135,0),MATCH(J208,'G-8 Condition Look up'!$A$3:$H$3,0)),"")</f>
        <v/>
      </c>
      <c r="L208" s="54"/>
      <c r="M208" s="370" t="str">
        <f>IF(L208="","",IF(VLOOKUP(L208,'G-3 Multipliers'!$L$3:$N$6,2,FALSE)=0,"Spatial Data Missing",VLOOKUP(L208,'G-3 Multipliers'!$L$3:$N$6,2,FALSE)))</f>
        <v/>
      </c>
      <c r="N208" s="368" t="str">
        <f>IF(L208="","",IF(VLOOKUP(L208,'G-3 Multipliers'!$L$3:$N$6,3,FALSE)=0,"Spatial Data Missing",VLOOKUP(L208,'G-3 Multipliers'!$L$3:$N$6,3,FALSE)))</f>
        <v/>
      </c>
      <c r="O208" s="362" t="str">
        <f t="shared" si="18"/>
        <v/>
      </c>
      <c r="P208" s="63"/>
      <c r="Q208" s="63"/>
      <c r="R208" s="370" t="str">
        <f t="shared" si="20"/>
        <v/>
      </c>
      <c r="S208" s="383" t="str">
        <f t="shared" si="21"/>
        <v/>
      </c>
      <c r="T208" s="384"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losses",P208&gt;=O208),"Low",VLOOKUP(F208,'G-3 Multipliers'!$A$2:$E$134,4,FALSE))))</f>
        <v/>
      </c>
      <c r="X208" s="386" t="str">
        <f>IFERROR(IF(E208="","",VLOOKUP(W208, 'G-3 Multipliers'!$P$2:$Q$6,2,FALSE)),"")</f>
        <v/>
      </c>
      <c r="Y208" s="390" t="str">
        <f t="shared" si="22"/>
        <v/>
      </c>
      <c r="Z208" s="194"/>
      <c r="AA208" s="195"/>
      <c r="AB208" s="120"/>
      <c r="AE208" s="40" t="str">
        <f t="shared" si="19"/>
        <v/>
      </c>
    </row>
    <row r="209" spans="1:31" x14ac:dyDescent="0.25">
      <c r="A209" s="35" t="str">
        <f>IFERROR(INDEX('G-8 Condition Look up'!$I$4:$I$135,MATCH(F209,'G-8 Condition Look up'!$A$4:$A$135,0)),"")</f>
        <v/>
      </c>
      <c r="C209" s="299" t="str">
        <f>IFERROR(INDEX('G-1 All Habitats'!$AG$3:$AG$17,MATCH(D209,'G-1 All Habitats'!$AF$3:$AF$17,0)),"")</f>
        <v/>
      </c>
      <c r="D209" s="54"/>
      <c r="E209" s="61"/>
      <c r="F209" s="296" t="str">
        <f>IFERROR(INDEX('G-1 All Habitats'!$B$3:$B$134,MATCH(E209,'G-1 All Habitats'!$A$3:$A$134,0)),"")</f>
        <v/>
      </c>
      <c r="G209" s="53"/>
      <c r="H209" s="362" t="str">
        <f>IF(F209="","",VLOOKUP(F209,'G-1 All Habitats'!$B$2:$M$134,10,FALSE))</f>
        <v/>
      </c>
      <c r="I209" s="363" t="str">
        <f>IFERROR(VLOOKUP(H209,'G-1 All Habitats'!$V$3:$W$7,2,FALSE),"")</f>
        <v/>
      </c>
      <c r="J209" s="54"/>
      <c r="K209" s="363" t="str">
        <f>IFERROR(INDEX('G-8 Condition Look up'!$A$3:$H$135,MATCH(F209,'G-8 Condition Look up'!$A$3:$A$135,0),MATCH(J209,'G-8 Condition Look up'!$A$3:$H$3,0)),"")</f>
        <v/>
      </c>
      <c r="L209" s="54"/>
      <c r="M209" s="370" t="str">
        <f>IF(L209="","",IF(VLOOKUP(L209,'G-3 Multipliers'!$L$3:$N$6,2,FALSE)=0,"Spatial Data Missing",VLOOKUP(L209,'G-3 Multipliers'!$L$3:$N$6,2,FALSE)))</f>
        <v/>
      </c>
      <c r="N209" s="368" t="str">
        <f>IF(L209="","",IF(VLOOKUP(L209,'G-3 Multipliers'!$L$3:$N$6,3,FALSE)=0,"Spatial Data Missing",VLOOKUP(L209,'G-3 Multipliers'!$L$3:$N$6,3,FALSE)))</f>
        <v/>
      </c>
      <c r="O209" s="362" t="str">
        <f t="shared" si="18"/>
        <v/>
      </c>
      <c r="P209" s="63"/>
      <c r="Q209" s="63"/>
      <c r="R209" s="370" t="str">
        <f t="shared" si="20"/>
        <v/>
      </c>
      <c r="S209" s="383" t="str">
        <f t="shared" si="21"/>
        <v/>
      </c>
      <c r="T209" s="384"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losses",P209&gt;=O209),"Low",VLOOKUP(F209,'G-3 Multipliers'!$A$2:$E$134,4,FALSE))))</f>
        <v/>
      </c>
      <c r="X209" s="386" t="str">
        <f>IFERROR(IF(E209="","",VLOOKUP(W209, 'G-3 Multipliers'!$P$2:$Q$6,2,FALSE)),"")</f>
        <v/>
      </c>
      <c r="Y209" s="390" t="str">
        <f t="shared" si="22"/>
        <v/>
      </c>
      <c r="Z209" s="194"/>
      <c r="AA209" s="195"/>
      <c r="AB209" s="120"/>
      <c r="AE209" s="40" t="str">
        <f t="shared" si="19"/>
        <v/>
      </c>
    </row>
    <row r="210" spans="1:31" x14ac:dyDescent="0.25">
      <c r="A210" s="35" t="str">
        <f>IFERROR(INDEX('G-8 Condition Look up'!$I$4:$I$135,MATCH(F210,'G-8 Condition Look up'!$A$4:$A$135,0)),"")</f>
        <v/>
      </c>
      <c r="C210" s="299" t="str">
        <f>IFERROR(INDEX('G-1 All Habitats'!$AG$3:$AG$17,MATCH(D210,'G-1 All Habitats'!$AF$3:$AF$17,0)),"")</f>
        <v/>
      </c>
      <c r="D210" s="54"/>
      <c r="E210" s="61"/>
      <c r="F210" s="296" t="str">
        <f>IFERROR(INDEX('G-1 All Habitats'!$B$3:$B$134,MATCH(E210,'G-1 All Habitats'!$A$3:$A$134,0)),"")</f>
        <v/>
      </c>
      <c r="G210" s="53"/>
      <c r="H210" s="362" t="str">
        <f>IF(F210="","",VLOOKUP(F210,'G-1 All Habitats'!$B$2:$M$134,10,FALSE))</f>
        <v/>
      </c>
      <c r="I210" s="363" t="str">
        <f>IFERROR(VLOOKUP(H210,'G-1 All Habitats'!$V$3:$W$7,2,FALSE),"")</f>
        <v/>
      </c>
      <c r="J210" s="54"/>
      <c r="K210" s="363" t="str">
        <f>IFERROR(INDEX('G-8 Condition Look up'!$A$3:$H$135,MATCH(F210,'G-8 Condition Look up'!$A$3:$A$135,0),MATCH(J210,'G-8 Condition Look up'!$A$3:$H$3,0)),"")</f>
        <v/>
      </c>
      <c r="L210" s="54"/>
      <c r="M210" s="370" t="str">
        <f>IF(L210="","",IF(VLOOKUP(L210,'G-3 Multipliers'!$L$3:$N$6,2,FALSE)=0,"Spatial Data Missing",VLOOKUP(L210,'G-3 Multipliers'!$L$3:$N$6,2,FALSE)))</f>
        <v/>
      </c>
      <c r="N210" s="368" t="str">
        <f>IF(L210="","",IF(VLOOKUP(L210,'G-3 Multipliers'!$L$3:$N$6,3,FALSE)=0,"Spatial Data Missing",VLOOKUP(L210,'G-3 Multipliers'!$L$3:$N$6,3,FALSE)))</f>
        <v/>
      </c>
      <c r="O210" s="362" t="str">
        <f t="shared" si="18"/>
        <v/>
      </c>
      <c r="P210" s="63"/>
      <c r="Q210" s="63"/>
      <c r="R210" s="370" t="str">
        <f t="shared" si="20"/>
        <v/>
      </c>
      <c r="S210" s="383" t="str">
        <f t="shared" si="21"/>
        <v/>
      </c>
      <c r="T210" s="384"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losses",P210&gt;=O210),"Low",VLOOKUP(F210,'G-3 Multipliers'!$A$2:$E$134,4,FALSE))))</f>
        <v/>
      </c>
      <c r="X210" s="386" t="str">
        <f>IFERROR(IF(E210="","",VLOOKUP(W210, 'G-3 Multipliers'!$P$2:$Q$6,2,FALSE)),"")</f>
        <v/>
      </c>
      <c r="Y210" s="390" t="str">
        <f t="shared" si="22"/>
        <v/>
      </c>
      <c r="Z210" s="194"/>
      <c r="AA210" s="195"/>
      <c r="AB210" s="120"/>
      <c r="AE210" s="40" t="str">
        <f t="shared" si="19"/>
        <v/>
      </c>
    </row>
    <row r="211" spans="1:31" x14ac:dyDescent="0.25">
      <c r="A211" s="35" t="str">
        <f>IFERROR(INDEX('G-8 Condition Look up'!$I$4:$I$135,MATCH(F211,'G-8 Condition Look up'!$A$4:$A$135,0)),"")</f>
        <v/>
      </c>
      <c r="C211" s="299" t="str">
        <f>IFERROR(INDEX('G-1 All Habitats'!$AG$3:$AG$17,MATCH(D211,'G-1 All Habitats'!$AF$3:$AF$17,0)),"")</f>
        <v/>
      </c>
      <c r="D211" s="54"/>
      <c r="E211" s="61"/>
      <c r="F211" s="296" t="str">
        <f>IFERROR(INDEX('G-1 All Habitats'!$B$3:$B$134,MATCH(E211,'G-1 All Habitats'!$A$3:$A$134,0)),"")</f>
        <v/>
      </c>
      <c r="G211" s="53"/>
      <c r="H211" s="362" t="str">
        <f>IF(F211="","",VLOOKUP(F211,'G-1 All Habitats'!$B$2:$M$134,10,FALSE))</f>
        <v/>
      </c>
      <c r="I211" s="363" t="str">
        <f>IFERROR(VLOOKUP(H211,'G-1 All Habitats'!$V$3:$W$7,2,FALSE),"")</f>
        <v/>
      </c>
      <c r="J211" s="54"/>
      <c r="K211" s="363" t="str">
        <f>IFERROR(INDEX('G-8 Condition Look up'!$A$3:$H$135,MATCH(F211,'G-8 Condition Look up'!$A$3:$A$135,0),MATCH(J211,'G-8 Condition Look up'!$A$3:$H$3,0)),"")</f>
        <v/>
      </c>
      <c r="L211" s="54"/>
      <c r="M211" s="370" t="str">
        <f>IF(L211="","",IF(VLOOKUP(L211,'G-3 Multipliers'!$L$3:$N$6,2,FALSE)=0,"Spatial Data Missing",VLOOKUP(L211,'G-3 Multipliers'!$L$3:$N$6,2,FALSE)))</f>
        <v/>
      </c>
      <c r="N211" s="368" t="str">
        <f>IF(L211="","",IF(VLOOKUP(L211,'G-3 Multipliers'!$L$3:$N$6,3,FALSE)=0,"Spatial Data Missing",VLOOKUP(L211,'G-3 Multipliers'!$L$3:$N$6,3,FALSE)))</f>
        <v/>
      </c>
      <c r="O211" s="362" t="str">
        <f t="shared" si="18"/>
        <v/>
      </c>
      <c r="P211" s="63"/>
      <c r="Q211" s="63"/>
      <c r="R211" s="370" t="str">
        <f t="shared" si="20"/>
        <v/>
      </c>
      <c r="S211" s="383" t="str">
        <f t="shared" si="21"/>
        <v/>
      </c>
      <c r="T211" s="384"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losses",P211&gt;=O211),"Low",VLOOKUP(F211,'G-3 Multipliers'!$A$2:$E$134,4,FALSE))))</f>
        <v/>
      </c>
      <c r="X211" s="386" t="str">
        <f>IFERROR(IF(E211="","",VLOOKUP(W211, 'G-3 Multipliers'!$P$2:$Q$6,2,FALSE)),"")</f>
        <v/>
      </c>
      <c r="Y211" s="390" t="str">
        <f t="shared" si="22"/>
        <v/>
      </c>
      <c r="Z211" s="194"/>
      <c r="AA211" s="195"/>
      <c r="AB211" s="120"/>
      <c r="AE211" s="40" t="str">
        <f t="shared" si="19"/>
        <v/>
      </c>
    </row>
    <row r="212" spans="1:31" x14ac:dyDescent="0.25">
      <c r="A212" s="35" t="str">
        <f>IFERROR(INDEX('G-8 Condition Look up'!$I$4:$I$135,MATCH(F212,'G-8 Condition Look up'!$A$4:$A$135,0)),"")</f>
        <v/>
      </c>
      <c r="C212" s="299" t="str">
        <f>IFERROR(INDEX('G-1 All Habitats'!$AG$3:$AG$17,MATCH(D212,'G-1 All Habitats'!$AF$3:$AF$17,0)),"")</f>
        <v/>
      </c>
      <c r="D212" s="54"/>
      <c r="E212" s="61"/>
      <c r="F212" s="296" t="str">
        <f>IFERROR(INDEX('G-1 All Habitats'!$B$3:$B$134,MATCH(E212,'G-1 All Habitats'!$A$3:$A$134,0)),"")</f>
        <v/>
      </c>
      <c r="G212" s="53"/>
      <c r="H212" s="362" t="str">
        <f>IF(F212="","",VLOOKUP(F212,'G-1 All Habitats'!$B$2:$M$134,10,FALSE))</f>
        <v/>
      </c>
      <c r="I212" s="363" t="str">
        <f>IFERROR(VLOOKUP(H212,'G-1 All Habitats'!$V$3:$W$7,2,FALSE),"")</f>
        <v/>
      </c>
      <c r="J212" s="54"/>
      <c r="K212" s="363" t="str">
        <f>IFERROR(INDEX('G-8 Condition Look up'!$A$3:$H$135,MATCH(F212,'G-8 Condition Look up'!$A$3:$A$135,0),MATCH(J212,'G-8 Condition Look up'!$A$3:$H$3,0)),"")</f>
        <v/>
      </c>
      <c r="L212" s="54"/>
      <c r="M212" s="370" t="str">
        <f>IF(L212="","",IF(VLOOKUP(L212,'G-3 Multipliers'!$L$3:$N$6,2,FALSE)=0,"Spatial Data Missing",VLOOKUP(L212,'G-3 Multipliers'!$L$3:$N$6,2,FALSE)))</f>
        <v/>
      </c>
      <c r="N212" s="368" t="str">
        <f>IF(L212="","",IF(VLOOKUP(L212,'G-3 Multipliers'!$L$3:$N$6,3,FALSE)=0,"Spatial Data Missing",VLOOKUP(L212,'G-3 Multipliers'!$L$3:$N$6,3,FALSE)))</f>
        <v/>
      </c>
      <c r="O212" s="362" t="str">
        <f t="shared" si="18"/>
        <v/>
      </c>
      <c r="P212" s="63"/>
      <c r="Q212" s="63"/>
      <c r="R212" s="370" t="str">
        <f t="shared" si="20"/>
        <v/>
      </c>
      <c r="S212" s="383" t="str">
        <f t="shared" si="21"/>
        <v/>
      </c>
      <c r="T212" s="384"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losses",P212&gt;=O212),"Low",VLOOKUP(F212,'G-3 Multipliers'!$A$2:$E$134,4,FALSE))))</f>
        <v/>
      </c>
      <c r="X212" s="386" t="str">
        <f>IFERROR(IF(E212="","",VLOOKUP(W212, 'G-3 Multipliers'!$P$2:$Q$6,2,FALSE)),"")</f>
        <v/>
      </c>
      <c r="Y212" s="390" t="str">
        <f t="shared" si="22"/>
        <v/>
      </c>
      <c r="Z212" s="194"/>
      <c r="AA212" s="195"/>
      <c r="AB212" s="120"/>
      <c r="AE212" s="40" t="str">
        <f t="shared" si="19"/>
        <v/>
      </c>
    </row>
    <row r="213" spans="1:31" x14ac:dyDescent="0.25">
      <c r="A213" s="35" t="str">
        <f>IFERROR(INDEX('G-8 Condition Look up'!$I$4:$I$135,MATCH(F213,'G-8 Condition Look up'!$A$4:$A$135,0)),"")</f>
        <v/>
      </c>
      <c r="C213" s="299" t="str">
        <f>IFERROR(INDEX('G-1 All Habitats'!$AG$3:$AG$17,MATCH(D213,'G-1 All Habitats'!$AF$3:$AF$17,0)),"")</f>
        <v/>
      </c>
      <c r="D213" s="54"/>
      <c r="E213" s="61"/>
      <c r="F213" s="296" t="str">
        <f>IFERROR(INDEX('G-1 All Habitats'!$B$3:$B$134,MATCH(E213,'G-1 All Habitats'!$A$3:$A$134,0)),"")</f>
        <v/>
      </c>
      <c r="G213" s="53"/>
      <c r="H213" s="362" t="str">
        <f>IF(F213="","",VLOOKUP(F213,'G-1 All Habitats'!$B$2:$M$134,10,FALSE))</f>
        <v/>
      </c>
      <c r="I213" s="363" t="str">
        <f>IFERROR(VLOOKUP(H213,'G-1 All Habitats'!$V$3:$W$7,2,FALSE),"")</f>
        <v/>
      </c>
      <c r="J213" s="54"/>
      <c r="K213" s="363" t="str">
        <f>IFERROR(INDEX('G-8 Condition Look up'!$A$3:$H$135,MATCH(F213,'G-8 Condition Look up'!$A$3:$A$135,0),MATCH(J213,'G-8 Condition Look up'!$A$3:$H$3,0)),"")</f>
        <v/>
      </c>
      <c r="L213" s="54"/>
      <c r="M213" s="370" t="str">
        <f>IF(L213="","",IF(VLOOKUP(L213,'G-3 Multipliers'!$L$3:$N$6,2,FALSE)=0,"Spatial Data Missing",VLOOKUP(L213,'G-3 Multipliers'!$L$3:$N$6,2,FALSE)))</f>
        <v/>
      </c>
      <c r="N213" s="368" t="str">
        <f>IF(L213="","",IF(VLOOKUP(L213,'G-3 Multipliers'!$L$3:$N$6,3,FALSE)=0,"Spatial Data Missing",VLOOKUP(L213,'G-3 Multipliers'!$L$3:$N$6,3,FALSE)))</f>
        <v/>
      </c>
      <c r="O213" s="362" t="str">
        <f t="shared" si="18"/>
        <v/>
      </c>
      <c r="P213" s="63"/>
      <c r="Q213" s="63"/>
      <c r="R213" s="370" t="str">
        <f t="shared" si="20"/>
        <v/>
      </c>
      <c r="S213" s="383" t="str">
        <f t="shared" si="21"/>
        <v/>
      </c>
      <c r="T213" s="384"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losses",P213&gt;=O213),"Low",VLOOKUP(F213,'G-3 Multipliers'!$A$2:$E$134,4,FALSE))))</f>
        <v/>
      </c>
      <c r="X213" s="386" t="str">
        <f>IFERROR(IF(E213="","",VLOOKUP(W213, 'G-3 Multipliers'!$P$2:$Q$6,2,FALSE)),"")</f>
        <v/>
      </c>
      <c r="Y213" s="390" t="str">
        <f t="shared" si="22"/>
        <v/>
      </c>
      <c r="Z213" s="194"/>
      <c r="AA213" s="195"/>
      <c r="AB213" s="120"/>
      <c r="AE213" s="40" t="str">
        <f t="shared" si="19"/>
        <v/>
      </c>
    </row>
    <row r="214" spans="1:31" x14ac:dyDescent="0.25">
      <c r="A214" s="35" t="str">
        <f>IFERROR(INDEX('G-8 Condition Look up'!$I$4:$I$135,MATCH(F214,'G-8 Condition Look up'!$A$4:$A$135,0)),"")</f>
        <v/>
      </c>
      <c r="C214" s="299" t="str">
        <f>IFERROR(INDEX('G-1 All Habitats'!$AG$3:$AG$17,MATCH(D214,'G-1 All Habitats'!$AF$3:$AF$17,0)),"")</f>
        <v/>
      </c>
      <c r="D214" s="54"/>
      <c r="E214" s="61"/>
      <c r="F214" s="296" t="str">
        <f>IFERROR(INDEX('G-1 All Habitats'!$B$3:$B$134,MATCH(E214,'G-1 All Habitats'!$A$3:$A$134,0)),"")</f>
        <v/>
      </c>
      <c r="G214" s="53"/>
      <c r="H214" s="362" t="str">
        <f>IF(F214="","",VLOOKUP(F214,'G-1 All Habitats'!$B$2:$M$134,10,FALSE))</f>
        <v/>
      </c>
      <c r="I214" s="363" t="str">
        <f>IFERROR(VLOOKUP(H214,'G-1 All Habitats'!$V$3:$W$7,2,FALSE),"")</f>
        <v/>
      </c>
      <c r="J214" s="54"/>
      <c r="K214" s="363" t="str">
        <f>IFERROR(INDEX('G-8 Condition Look up'!$A$3:$H$135,MATCH(F214,'G-8 Condition Look up'!$A$3:$A$135,0),MATCH(J214,'G-8 Condition Look up'!$A$3:$H$3,0)),"")</f>
        <v/>
      </c>
      <c r="L214" s="54"/>
      <c r="M214" s="370" t="str">
        <f>IF(L214="","",IF(VLOOKUP(L214,'G-3 Multipliers'!$L$3:$N$6,2,FALSE)=0,"Spatial Data Missing",VLOOKUP(L214,'G-3 Multipliers'!$L$3:$N$6,2,FALSE)))</f>
        <v/>
      </c>
      <c r="N214" s="368" t="str">
        <f>IF(L214="","",IF(VLOOKUP(L214,'G-3 Multipliers'!$L$3:$N$6,3,FALSE)=0,"Spatial Data Missing",VLOOKUP(L214,'G-3 Multipliers'!$L$3:$N$6,3,FALSE)))</f>
        <v/>
      </c>
      <c r="O214" s="362" t="str">
        <f t="shared" si="18"/>
        <v/>
      </c>
      <c r="P214" s="63"/>
      <c r="Q214" s="63"/>
      <c r="R214" s="370" t="str">
        <f t="shared" si="20"/>
        <v/>
      </c>
      <c r="S214" s="383" t="str">
        <f t="shared" si="21"/>
        <v/>
      </c>
      <c r="T214" s="384"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losses",P214&gt;=O214),"Low",VLOOKUP(F214,'G-3 Multipliers'!$A$2:$E$134,4,FALSE))))</f>
        <v/>
      </c>
      <c r="X214" s="386" t="str">
        <f>IFERROR(IF(E214="","",VLOOKUP(W214, 'G-3 Multipliers'!$P$2:$Q$6,2,FALSE)),"")</f>
        <v/>
      </c>
      <c r="Y214" s="390" t="str">
        <f t="shared" si="22"/>
        <v/>
      </c>
      <c r="Z214" s="194"/>
      <c r="AA214" s="195"/>
      <c r="AB214" s="120"/>
      <c r="AE214" s="40" t="str">
        <f t="shared" si="19"/>
        <v/>
      </c>
    </row>
    <row r="215" spans="1:31" x14ac:dyDescent="0.25">
      <c r="A215" s="35" t="str">
        <f>IFERROR(INDEX('G-8 Condition Look up'!$I$4:$I$135,MATCH(F215,'G-8 Condition Look up'!$A$4:$A$135,0)),"")</f>
        <v/>
      </c>
      <c r="C215" s="299" t="str">
        <f>IFERROR(INDEX('G-1 All Habitats'!$AG$3:$AG$17,MATCH(D215,'G-1 All Habitats'!$AF$3:$AF$17,0)),"")</f>
        <v/>
      </c>
      <c r="D215" s="54"/>
      <c r="E215" s="61"/>
      <c r="F215" s="296" t="str">
        <f>IFERROR(INDEX('G-1 All Habitats'!$B$3:$B$134,MATCH(E215,'G-1 All Habitats'!$A$3:$A$134,0)),"")</f>
        <v/>
      </c>
      <c r="G215" s="53"/>
      <c r="H215" s="362" t="str">
        <f>IF(F215="","",VLOOKUP(F215,'G-1 All Habitats'!$B$2:$M$134,10,FALSE))</f>
        <v/>
      </c>
      <c r="I215" s="363" t="str">
        <f>IFERROR(VLOOKUP(H215,'G-1 All Habitats'!$V$3:$W$7,2,FALSE),"")</f>
        <v/>
      </c>
      <c r="J215" s="54"/>
      <c r="K215" s="363" t="str">
        <f>IFERROR(INDEX('G-8 Condition Look up'!$A$3:$H$135,MATCH(F215,'G-8 Condition Look up'!$A$3:$A$135,0),MATCH(J215,'G-8 Condition Look up'!$A$3:$H$3,0)),"")</f>
        <v/>
      </c>
      <c r="L215" s="54"/>
      <c r="M215" s="370" t="str">
        <f>IF(L215="","",IF(VLOOKUP(L215,'G-3 Multipliers'!$L$3:$N$6,2,FALSE)=0,"Spatial Data Missing",VLOOKUP(L215,'G-3 Multipliers'!$L$3:$N$6,2,FALSE)))</f>
        <v/>
      </c>
      <c r="N215" s="368" t="str">
        <f>IF(L215="","",IF(VLOOKUP(L215,'G-3 Multipliers'!$L$3:$N$6,3,FALSE)=0,"Spatial Data Missing",VLOOKUP(L215,'G-3 Multipliers'!$L$3:$N$6,3,FALSE)))</f>
        <v/>
      </c>
      <c r="O215" s="362" t="str">
        <f t="shared" si="18"/>
        <v/>
      </c>
      <c r="P215" s="63"/>
      <c r="Q215" s="63"/>
      <c r="R215" s="370" t="str">
        <f t="shared" si="20"/>
        <v/>
      </c>
      <c r="S215" s="383" t="str">
        <f t="shared" si="21"/>
        <v/>
      </c>
      <c r="T215" s="384"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losses",P215&gt;=O215),"Low",VLOOKUP(F215,'G-3 Multipliers'!$A$2:$E$134,4,FALSE))))</f>
        <v/>
      </c>
      <c r="X215" s="386" t="str">
        <f>IFERROR(IF(E215="","",VLOOKUP(W215, 'G-3 Multipliers'!$P$2:$Q$6,2,FALSE)),"")</f>
        <v/>
      </c>
      <c r="Y215" s="390" t="str">
        <f t="shared" si="22"/>
        <v/>
      </c>
      <c r="Z215" s="194"/>
      <c r="AA215" s="195"/>
      <c r="AB215" s="120"/>
      <c r="AE215" s="40" t="str">
        <f t="shared" si="19"/>
        <v/>
      </c>
    </row>
    <row r="216" spans="1:31" x14ac:dyDescent="0.25">
      <c r="A216" s="35" t="str">
        <f>IFERROR(INDEX('G-8 Condition Look up'!$I$4:$I$135,MATCH(F216,'G-8 Condition Look up'!$A$4:$A$135,0)),"")</f>
        <v/>
      </c>
      <c r="C216" s="299" t="str">
        <f>IFERROR(INDEX('G-1 All Habitats'!$AG$3:$AG$17,MATCH(D216,'G-1 All Habitats'!$AF$3:$AF$17,0)),"")</f>
        <v/>
      </c>
      <c r="D216" s="54"/>
      <c r="E216" s="61"/>
      <c r="F216" s="296" t="str">
        <f>IFERROR(INDEX('G-1 All Habitats'!$B$3:$B$134,MATCH(E216,'G-1 All Habitats'!$A$3:$A$134,0)),"")</f>
        <v/>
      </c>
      <c r="G216" s="53"/>
      <c r="H216" s="362" t="str">
        <f>IF(F216="","",VLOOKUP(F216,'G-1 All Habitats'!$B$2:$M$134,10,FALSE))</f>
        <v/>
      </c>
      <c r="I216" s="363" t="str">
        <f>IFERROR(VLOOKUP(H216,'G-1 All Habitats'!$V$3:$W$7,2,FALSE),"")</f>
        <v/>
      </c>
      <c r="J216" s="54"/>
      <c r="K216" s="363" t="str">
        <f>IFERROR(INDEX('G-8 Condition Look up'!$A$3:$H$135,MATCH(F216,'G-8 Condition Look up'!$A$3:$A$135,0),MATCH(J216,'G-8 Condition Look up'!$A$3:$H$3,0)),"")</f>
        <v/>
      </c>
      <c r="L216" s="54"/>
      <c r="M216" s="370" t="str">
        <f>IF(L216="","",IF(VLOOKUP(L216,'G-3 Multipliers'!$L$3:$N$6,2,FALSE)=0,"Spatial Data Missing",VLOOKUP(L216,'G-3 Multipliers'!$L$3:$N$6,2,FALSE)))</f>
        <v/>
      </c>
      <c r="N216" s="368" t="str">
        <f>IF(L216="","",IF(VLOOKUP(L216,'G-3 Multipliers'!$L$3:$N$6,3,FALSE)=0,"Spatial Data Missing",VLOOKUP(L216,'G-3 Multipliers'!$L$3:$N$6,3,FALSE)))</f>
        <v/>
      </c>
      <c r="O216" s="362" t="str">
        <f t="shared" si="18"/>
        <v/>
      </c>
      <c r="P216" s="63"/>
      <c r="Q216" s="63"/>
      <c r="R216" s="370" t="str">
        <f t="shared" si="20"/>
        <v/>
      </c>
      <c r="S216" s="383" t="str">
        <f t="shared" si="21"/>
        <v/>
      </c>
      <c r="T216" s="384"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losses",P216&gt;=O216),"Low",VLOOKUP(F216,'G-3 Multipliers'!$A$2:$E$134,4,FALSE))))</f>
        <v/>
      </c>
      <c r="X216" s="386" t="str">
        <f>IFERROR(IF(E216="","",VLOOKUP(W216, 'G-3 Multipliers'!$P$2:$Q$6,2,FALSE)),"")</f>
        <v/>
      </c>
      <c r="Y216" s="390" t="str">
        <f t="shared" si="22"/>
        <v/>
      </c>
      <c r="Z216" s="194"/>
      <c r="AA216" s="195"/>
      <c r="AB216" s="120"/>
      <c r="AE216" s="40" t="str">
        <f t="shared" si="19"/>
        <v/>
      </c>
    </row>
    <row r="217" spans="1:31" x14ac:dyDescent="0.25">
      <c r="A217" s="35" t="str">
        <f>IFERROR(INDEX('G-8 Condition Look up'!$I$4:$I$135,MATCH(F217,'G-8 Condition Look up'!$A$4:$A$135,0)),"")</f>
        <v/>
      </c>
      <c r="C217" s="299" t="str">
        <f>IFERROR(INDEX('G-1 All Habitats'!$AG$3:$AG$17,MATCH(D217,'G-1 All Habitats'!$AF$3:$AF$17,0)),"")</f>
        <v/>
      </c>
      <c r="D217" s="54"/>
      <c r="E217" s="61"/>
      <c r="F217" s="296" t="str">
        <f>IFERROR(INDEX('G-1 All Habitats'!$B$3:$B$134,MATCH(E217,'G-1 All Habitats'!$A$3:$A$134,0)),"")</f>
        <v/>
      </c>
      <c r="G217" s="53"/>
      <c r="H217" s="362" t="str">
        <f>IF(F217="","",VLOOKUP(F217,'G-1 All Habitats'!$B$2:$M$134,10,FALSE))</f>
        <v/>
      </c>
      <c r="I217" s="363" t="str">
        <f>IFERROR(VLOOKUP(H217,'G-1 All Habitats'!$V$3:$W$7,2,FALSE),"")</f>
        <v/>
      </c>
      <c r="J217" s="54"/>
      <c r="K217" s="363" t="str">
        <f>IFERROR(INDEX('G-8 Condition Look up'!$A$3:$H$135,MATCH(F217,'G-8 Condition Look up'!$A$3:$A$135,0),MATCH(J217,'G-8 Condition Look up'!$A$3:$H$3,0)),"")</f>
        <v/>
      </c>
      <c r="L217" s="54"/>
      <c r="M217" s="370" t="str">
        <f>IF(L217="","",IF(VLOOKUP(L217,'G-3 Multipliers'!$L$3:$N$6,2,FALSE)=0,"Spatial Data Missing",VLOOKUP(L217,'G-3 Multipliers'!$L$3:$N$6,2,FALSE)))</f>
        <v/>
      </c>
      <c r="N217" s="368" t="str">
        <f>IF(L217="","",IF(VLOOKUP(L217,'G-3 Multipliers'!$L$3:$N$6,3,FALSE)=0,"Spatial Data Missing",VLOOKUP(L217,'G-3 Multipliers'!$L$3:$N$6,3,FALSE)))</f>
        <v/>
      </c>
      <c r="O217" s="362" t="str">
        <f t="shared" si="18"/>
        <v/>
      </c>
      <c r="P217" s="63"/>
      <c r="Q217" s="63"/>
      <c r="R217" s="370" t="str">
        <f t="shared" si="20"/>
        <v/>
      </c>
      <c r="S217" s="383" t="str">
        <f t="shared" si="21"/>
        <v/>
      </c>
      <c r="T217" s="384"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losses",P217&gt;=O217),"Low",VLOOKUP(F217,'G-3 Multipliers'!$A$2:$E$134,4,FALSE))))</f>
        <v/>
      </c>
      <c r="X217" s="386" t="str">
        <f>IFERROR(IF(E217="","",VLOOKUP(W217, 'G-3 Multipliers'!$P$2:$Q$6,2,FALSE)),"")</f>
        <v/>
      </c>
      <c r="Y217" s="390" t="str">
        <f t="shared" si="22"/>
        <v/>
      </c>
      <c r="Z217" s="194"/>
      <c r="AA217" s="195"/>
      <c r="AB217" s="120"/>
      <c r="AE217" s="40" t="str">
        <f t="shared" si="19"/>
        <v/>
      </c>
    </row>
    <row r="218" spans="1:31" x14ac:dyDescent="0.25">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x14ac:dyDescent="0.25">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x14ac:dyDescent="0.25">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x14ac:dyDescent="0.25">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x14ac:dyDescent="0.25">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x14ac:dyDescent="0.25">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x14ac:dyDescent="0.25">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x14ac:dyDescent="0.25">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x14ac:dyDescent="0.25">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x14ac:dyDescent="0.25">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x14ac:dyDescent="0.25">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x14ac:dyDescent="0.25">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x14ac:dyDescent="0.25">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x14ac:dyDescent="0.25">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x14ac:dyDescent="0.25">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x14ac:dyDescent="0.25">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x14ac:dyDescent="0.25">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x14ac:dyDescent="0.25">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x14ac:dyDescent="0.25">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x14ac:dyDescent="0.25">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x14ac:dyDescent="0.25">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x14ac:dyDescent="0.25">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x14ac:dyDescent="0.25">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x14ac:dyDescent="0.25">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x14ac:dyDescent="0.25">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x14ac:dyDescent="0.25">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x14ac:dyDescent="0.25">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x14ac:dyDescent="0.25">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x14ac:dyDescent="0.25">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x14ac:dyDescent="0.25">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x14ac:dyDescent="0.25">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x14ac:dyDescent="0.25">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x14ac:dyDescent="0.25">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x14ac:dyDescent="0.25">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x14ac:dyDescent="0.25">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x14ac:dyDescent="0.25">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x14ac:dyDescent="0.25">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x14ac:dyDescent="0.25">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4.4" thickBot="1" x14ac:dyDescent="0.3">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4.4" thickBot="1" x14ac:dyDescent="0.3">
      <c r="E257" s="811" t="s">
        <v>329</v>
      </c>
      <c r="F257" s="266" t="s">
        <v>330</v>
      </c>
      <c r="G257" s="403">
        <f>SUM(G11:G256)</f>
        <v>45.938000000000002</v>
      </c>
      <c r="T257" s="66"/>
      <c r="U257" s="66"/>
      <c r="V257" s="66"/>
      <c r="W257" s="66"/>
      <c r="X257" s="132" t="s">
        <v>331</v>
      </c>
      <c r="Y257" s="381">
        <f>SUM(Y11:Y256)</f>
        <v>189.0054904021232</v>
      </c>
    </row>
    <row r="258" spans="5:25" ht="14.4" thickBot="1" x14ac:dyDescent="0.3"/>
    <row r="259" spans="5:25" ht="14.4" thickBot="1" x14ac:dyDescent="0.3">
      <c r="E259" s="515" t="s">
        <v>305</v>
      </c>
      <c r="G259" s="366">
        <f>IF('Detailed Results'!$K$40&gt;0,"Error",SUMIFS($G$11:$G$256,$F$11:$F$256,"&lt;&gt;"&amp;'G-1 All Habitats'!B80,$F$11:$F$256,"&lt;&gt;"&amp;'G-1 All Habitats'!B81,$F$11:$F$256,"&lt;&gt;"&amp;'G-1 All Habitats'!B67,$F$11:$F$256,"&lt;&gt;"&amp;'G-1 All Habitats'!B68, $F$11:$F$256,"&lt;&gt;"&amp;'G-1 All Habitats'!B81))</f>
        <v>45.938000000000002</v>
      </c>
    </row>
    <row r="260" spans="5:25" ht="14.4" thickBot="1" x14ac:dyDescent="0.3"/>
    <row r="261" spans="5:25" ht="14.4" thickBot="1" x14ac:dyDescent="0.3">
      <c r="E261" s="1447" t="s">
        <v>307</v>
      </c>
      <c r="F261" s="36"/>
      <c r="G261" s="597" t="s">
        <v>308</v>
      </c>
      <c r="H261" s="551" t="s">
        <v>309</v>
      </c>
      <c r="I261" s="1406" t="s">
        <v>310</v>
      </c>
      <c r="J261" s="1407"/>
    </row>
    <row r="262" spans="5:25" ht="15" customHeight="1" thickBot="1" x14ac:dyDescent="0.3">
      <c r="E262" s="1448"/>
      <c r="F262" s="36"/>
      <c r="G262" s="553"/>
      <c r="H262" s="552" t="str">
        <f>IF(G261="Hectares",G262,IF(G261="M²",G262/10000,""))</f>
        <v/>
      </c>
      <c r="I262" s="1408" t="str">
        <f>IF(G261="M²",G262,IF(G261="Hectares",G262*10000,""))</f>
        <v/>
      </c>
      <c r="J262" s="1409"/>
    </row>
    <row r="263" spans="5:25" x14ac:dyDescent="0.25">
      <c r="E263" s="35"/>
    </row>
    <row r="264" spans="5:25" x14ac:dyDescent="0.25">
      <c r="E264" s="35"/>
    </row>
    <row r="265" spans="5:25" x14ac:dyDescent="0.25">
      <c r="E265" s="35"/>
    </row>
    <row r="266" spans="5:25" x14ac:dyDescent="0.25">
      <c r="E266" s="35"/>
    </row>
  </sheetData>
  <sheetProtection algorithmName="SHA-512" hashValue="yUyfI5LNvhT48Q4EVJtFjASkiIuwgcB7shIF6M0hlBMCejZYgk13996vqcTfSd8G2BiXZ4XgwuUo11Wmb4t9iA==" saltValue="n20BEoe2IgvKQGbVWU/CcQ=="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s>
  <conditionalFormatting sqref="K11:K256">
    <cfRule type="cellIs" dxfId="702" priority="53" operator="equal">
      <formula>"Not Possible"</formula>
    </cfRule>
  </conditionalFormatting>
  <conditionalFormatting sqref="S11:S256">
    <cfRule type="containsText" dxfId="701" priority="35" operator="containsText" text="30+">
      <formula>NOT(ISERROR(SEARCH("30+",S11)))</formula>
    </cfRule>
  </conditionalFormatting>
  <conditionalFormatting sqref="O11:O256">
    <cfRule type="containsText" dxfId="700" priority="34" operator="containsText" text="30+">
      <formula>NOT(ISERROR(SEARCH("30+",O11)))</formula>
    </cfRule>
  </conditionalFormatting>
  <conditionalFormatting sqref="V11:V256">
    <cfRule type="cellIs" dxfId="699" priority="24" operator="equal">
      <formula>"No - Enhancement difficulty applied"</formula>
    </cfRule>
    <cfRule type="containsText" dxfId="698" priority="30" operator="containsText" text="No - Low Difficulty">
      <formula>NOT(ISERROR(SEARCH("No - Low Difficulty",V11)))</formula>
    </cfRule>
  </conditionalFormatting>
  <conditionalFormatting sqref="X12:Y257 R11:Y11 R12:X256">
    <cfRule type="containsText" dxfId="697" priority="29" operator="containsText" text="Error">
      <formula>NOT(ISERROR(SEARCH("Error",R11)))</formula>
    </cfRule>
    <cfRule type="containsText" dxfId="696" priority="32" operator="containsText" text="Check">
      <formula>NOT(ISERROR(SEARCH("Check",R11)))</formula>
    </cfRule>
  </conditionalFormatting>
  <conditionalFormatting sqref="N2">
    <cfRule type="containsText" dxfId="695" priority="28" operator="containsText" text="Note">
      <formula>NOT(ISERROR(SEARCH("Note",N2)))</formula>
    </cfRule>
  </conditionalFormatting>
  <conditionalFormatting sqref="N4">
    <cfRule type="containsText" dxfId="694" priority="27" operator="containsText" text="Check">
      <formula>NOT(ISERROR(SEARCH("Check",N4)))</formula>
    </cfRule>
  </conditionalFormatting>
  <conditionalFormatting sqref="T255">
    <cfRule type="containsText" dxfId="693" priority="26" operator="containsText" text="30+">
      <formula>NOT(ISERROR(SEARCH("30+",T255)))</formula>
    </cfRule>
  </conditionalFormatting>
  <conditionalFormatting sqref="V11:V256">
    <cfRule type="cellIs" dxfId="692" priority="25" operator="equal">
      <formula>"No - Enhancement difficulty applied"</formula>
    </cfRule>
  </conditionalFormatting>
  <conditionalFormatting sqref="E257">
    <cfRule type="containsText" dxfId="691" priority="22" operator="containsText" text="Error">
      <formula>NOT(ISERROR(SEARCH("Error",E257)))</formula>
    </cfRule>
    <cfRule type="containsText" dxfId="690" priority="23" operator="containsText" text="Check">
      <formula>NOT(ISERROR(SEARCH("Check",E257)))</formula>
    </cfRule>
  </conditionalFormatting>
  <conditionalFormatting sqref="K3">
    <cfRule type="containsText" dxfId="689" priority="14" operator="containsText" text="Error">
      <formula>NOT(ISERROR(SEARCH("Error",K3)))</formula>
    </cfRule>
    <cfRule type="containsText" dxfId="688" priority="15" operator="containsText" text="Check">
      <formula>NOT(ISERROR(SEARCH("Check",K3)))</formula>
    </cfRule>
  </conditionalFormatting>
  <conditionalFormatting sqref="K4">
    <cfRule type="containsText" dxfId="687" priority="2" operator="containsText" text="Check">
      <formula>NOT(ISERROR(SEARCH("Check",K4)))</formula>
    </cfRule>
    <cfRule type="containsText" dxfId="686" priority="9" operator="containsText" text="Error">
      <formula>NOT(ISERROR(SEARCH("Error",K4)))</formula>
    </cfRule>
  </conditionalFormatting>
  <conditionalFormatting sqref="K4">
    <cfRule type="cellIs" dxfId="685" priority="10" operator="equal">
      <formula>0</formula>
    </cfRule>
  </conditionalFormatting>
  <conditionalFormatting sqref="K5">
    <cfRule type="containsText" dxfId="684" priority="7" operator="containsText" text="No">
      <formula>NOT(ISERROR(SEARCH("No",K5)))</formula>
    </cfRule>
    <cfRule type="containsText" dxfId="683" priority="8" operator="containsText" text="Yes">
      <formula>NOT(ISERROR(SEARCH("Yes",K5)))</formula>
    </cfRule>
  </conditionalFormatting>
  <conditionalFormatting sqref="K6">
    <cfRule type="containsText" dxfId="682" priority="5" operator="containsText" text=" 🗸">
      <formula>NOT(ISERROR(SEARCH(" 🗸",K6)))</formula>
    </cfRule>
    <cfRule type="containsText" dxfId="681" priority="6" operator="containsText" text="▲">
      <formula>NOT(ISERROR(SEARCH("▲",K6)))</formula>
    </cfRule>
  </conditionalFormatting>
  <conditionalFormatting sqref="S2:X5">
    <cfRule type="containsText" dxfId="680" priority="4" operator="containsText" text="Check">
      <formula>NOT(ISERROR(SEARCH("Check",S2)))</formula>
    </cfRule>
  </conditionalFormatting>
  <conditionalFormatting sqref="H7:L7">
    <cfRule type="containsText" dxfId="679" priority="3" operator="containsText" text="⚠">
      <formula>NOT(ISERROR(SEARCH("⚠",H7)))</formula>
    </cfRule>
  </conditionalFormatting>
  <conditionalFormatting sqref="K4:L4">
    <cfRule type="cellIs" dxfId="678" priority="11" operator="lessThan">
      <formula>0</formula>
    </cfRule>
  </conditionalFormatting>
  <conditionalFormatting sqref="K3:L6">
    <cfRule type="containsText" dxfId="677" priority="1" operator="containsText" text="N/A">
      <formula>NOT(ISERROR(SEARCH("N/A",K3)))</formula>
    </cfRule>
  </conditionalFormatting>
  <dataValidations count="4">
    <dataValidation allowBlank="1" showErrorMessage="1" errorTitle="Invalid Habitat" error="Select from List" sqref="F11:F256" xr:uid="{00000000-0002-0000-0B00-000000000000}"/>
    <dataValidation type="list" allowBlank="1" showInputMessage="1" showErrorMessage="1" sqref="E11:E256" xr:uid="{00000000-0002-0000-0B00-000001000000}">
      <formula1>INDIRECT(C11)</formula1>
    </dataValidation>
    <dataValidation type="list" allowBlank="1" showInputMessage="1" showErrorMessage="1" sqref="J11:J256" xr:uid="{00000000-0002-0000-0B00-000002000000}">
      <formula1>INDIRECT(A11)</formula1>
    </dataValidation>
    <dataValidation type="list" allowBlank="1" showInputMessage="1" showErrorMessage="1" sqref="G261" xr:uid="{1EDEC249-3ACC-4671-899F-95158C4C8ED1}">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17"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6"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3" operator="lessThan" id="{0B505358-DF53-46B7-974A-183E1924519F}">
            <xm:f>Start!$F$22</xm:f>
            <x14:dxf>
              <font>
                <color rgb="FF383745"/>
              </font>
              <fill>
                <patternFill>
                  <bgColor rgb="FFFFC000"/>
                </patternFill>
              </fill>
            </x14:dxf>
          </x14:cfRule>
          <x14:cfRule type="cellIs" priority="424"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'G-3 Multipliers'!$L$4:$L$6</xm:f>
          </x14:formula1>
          <xm:sqref>L11:L256</xm:sqref>
        </x14:dataValidation>
        <x14:dataValidation type="list" allowBlank="1" showInputMessage="1" showErrorMessage="1" xr:uid="{00000000-0002-0000-0B00-000004000000}">
          <x14:formula1>
            <xm:f>'G-4 Temporal multipliers'!$A$42:$A$73</xm:f>
          </x14:formula1>
          <xm:sqref>P11:Q256</xm:sqref>
        </x14:dataValidation>
        <x14:dataValidation type="list" allowBlank="1" showInputMessage="1" showErrorMessage="1" xr:uid="{A201F8C6-BCE6-4054-9AC5-88D6C705829C}">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006600"/>
  </sheetPr>
  <dimension ref="A1:AQ266"/>
  <sheetViews>
    <sheetView showGridLines="0" topLeftCell="E1" zoomScale="80" zoomScaleNormal="80" workbookViewId="0">
      <pane ySplit="11" topLeftCell="A12" activePane="bottomLeft" state="frozen"/>
      <selection pane="bottomLeft" activeCell="E1" sqref="E1"/>
    </sheetView>
  </sheetViews>
  <sheetFormatPr defaultColWidth="8.77734375" defaultRowHeight="13.8" zeroHeight="1" x14ac:dyDescent="0.25"/>
  <cols>
    <col min="1" max="1" width="19.5546875" style="35" hidden="1" customWidth="1"/>
    <col min="2" max="2" width="16.44140625" style="35" hidden="1" customWidth="1"/>
    <col min="3" max="3" width="10.44140625" style="35" hidden="1" customWidth="1"/>
    <col min="4" max="4" width="15.5546875" style="35" hidden="1" customWidth="1"/>
    <col min="5" max="5" width="11.21875" style="35" customWidth="1"/>
    <col min="6" max="6" width="57.77734375" style="35" customWidth="1"/>
    <col min="7" max="7" width="13.21875" style="35" customWidth="1"/>
    <col min="8" max="9" width="17.77734375" style="35" customWidth="1"/>
    <col min="10" max="10" width="18.21875" style="35" customWidth="1"/>
    <col min="11" max="12" width="19.21875" style="35" customWidth="1"/>
    <col min="13" max="13" width="20.21875" style="35" customWidth="1"/>
    <col min="14" max="14" width="19.21875" style="35" customWidth="1"/>
    <col min="15" max="15" width="34" style="35" customWidth="1"/>
    <col min="16" max="16" width="22.44140625" style="35" hidden="1" customWidth="1"/>
    <col min="17" max="17" width="34" style="35" customWidth="1"/>
    <col min="18" max="18" width="73" style="35" customWidth="1"/>
    <col min="19" max="19" width="61.21875" style="35" hidden="1" customWidth="1"/>
    <col min="20" max="21" width="34.21875" style="35" customWidth="1"/>
    <col min="22" max="22" width="14" style="35" customWidth="1"/>
    <col min="23" max="23" width="18.44140625" style="35" customWidth="1"/>
    <col min="24" max="24" width="13.21875" style="35" customWidth="1"/>
    <col min="25" max="25" width="12.77734375" style="35" customWidth="1"/>
    <col min="26" max="26" width="12.5546875" style="35" customWidth="1"/>
    <col min="27" max="27" width="41.77734375" style="35" customWidth="1"/>
    <col min="28" max="28" width="15.44140625" style="35" customWidth="1"/>
    <col min="29" max="29" width="12.21875" style="35" customWidth="1"/>
    <col min="30" max="30" width="18.21875" style="35" customWidth="1"/>
    <col min="31" max="31" width="20.77734375" style="35" customWidth="1"/>
    <col min="32" max="32" width="22.77734375" style="35" customWidth="1"/>
    <col min="33" max="33" width="33.21875" style="35" customWidth="1"/>
    <col min="34" max="34" width="19.5546875" style="35" customWidth="1"/>
    <col min="35" max="35" width="15.21875" style="35" customWidth="1"/>
    <col min="36" max="36" width="17.5546875" style="35" customWidth="1"/>
    <col min="37" max="37" width="29.44140625" style="35" customWidth="1"/>
    <col min="38" max="38" width="17.21875" style="35" customWidth="1"/>
    <col min="39" max="39" width="14.5546875" style="35" customWidth="1"/>
    <col min="40" max="40" width="12.77734375" style="35" customWidth="1"/>
    <col min="41" max="41" width="40.21875" style="35" customWidth="1"/>
    <col min="42" max="42" width="42.21875" style="35" customWidth="1"/>
    <col min="43" max="43" width="14.77734375" style="35" customWidth="1"/>
    <col min="44" max="55" width="8.77734375" style="35" customWidth="1"/>
    <col min="56" max="16384" width="8.77734375" style="35"/>
  </cols>
  <sheetData>
    <row r="1" spans="1:43" ht="14.4" thickBot="1" x14ac:dyDescent="0.3"/>
    <row r="2" spans="1:43" ht="19.5" customHeight="1" thickBot="1" x14ac:dyDescent="0.35">
      <c r="E2" s="1469" t="str">
        <f>CONCATENATE("Project Name:", " ", Start!F12, "     ", "Map Reference:", " ", Start!K55)</f>
        <v xml:space="preserve">Project Name: Grove Farm Solar     Map Reference: </v>
      </c>
      <c r="F2" s="1498"/>
      <c r="G2" s="1470"/>
      <c r="R2" s="1437" t="s">
        <v>262</v>
      </c>
      <c r="S2" s="1438"/>
      <c r="T2" s="1438"/>
      <c r="U2" s="1439"/>
      <c r="V2" s="1505" t="str" cm="1">
        <f t="array" ref="V2">IF(OR(Y12:Y257 = "Fairly Good", Y12:Y257 = "Fairly Poor"),"A 'Fairly' Category has been used - check evidence to ensure this is appropriate ⚠", "")</f>
        <v/>
      </c>
      <c r="W2" s="1505"/>
      <c r="X2" s="1505"/>
      <c r="Y2" s="1505"/>
      <c r="Z2" s="1505"/>
      <c r="AA2" s="1505"/>
      <c r="AD2" s="1504" t="str">
        <f>IF(OR(COUNTIF($AD$12:AD257,"*30+*")&gt;0,COUNTIF(AH12:AH257,"*30+*")&gt;0),"Note; Habitat selected has a time to target condition greater than 30 years. Non standard agreement may be required.","")</f>
        <v/>
      </c>
      <c r="AE2" s="1504"/>
      <c r="AF2" s="1504"/>
      <c r="AG2" s="1504"/>
      <c r="AH2" s="1504"/>
      <c r="AI2" s="1504"/>
    </row>
    <row r="3" spans="1:43" ht="13.2" customHeight="1" x14ac:dyDescent="0.25">
      <c r="E3" s="1499" t="str">
        <f ca="1">MID(CELL("filename",D1),FIND("]",CELL("filename",D1))+1,256)</f>
        <v>A-3 On-Site Habitat Enhancement</v>
      </c>
      <c r="F3" s="1500"/>
      <c r="G3" s="1501"/>
      <c r="R3" s="1432" t="s">
        <v>263</v>
      </c>
      <c r="S3" s="1433"/>
      <c r="T3" s="1508">
        <f>'Headline Results'!H47</f>
        <v>97.897490402123225</v>
      </c>
      <c r="U3" s="1509"/>
      <c r="V3" s="1505"/>
      <c r="W3" s="1505"/>
      <c r="X3" s="1505"/>
      <c r="Y3" s="1505"/>
      <c r="Z3" s="1505"/>
      <c r="AA3" s="1505"/>
      <c r="AD3" s="1504"/>
      <c r="AE3" s="1504"/>
      <c r="AF3" s="1504"/>
      <c r="AG3" s="1504"/>
      <c r="AH3" s="1504"/>
      <c r="AI3" s="1504"/>
    </row>
    <row r="4" spans="1:43" ht="15.75" customHeight="1" thickBot="1" x14ac:dyDescent="0.35">
      <c r="E4" s="1471"/>
      <c r="F4" s="1502"/>
      <c r="G4" s="1472"/>
      <c r="H4" s="189" t="str">
        <f>IF(G4="","",IF(ISNA(VLOOKUP($E4,'A-1 On-Site Habitat Baseline'!$D$1:$O$258,3,FALSE)),"",(VLOOKUP($E4,'A-1 On-Site Habitat Baseline'!$D$1:$O$258,3,FALSE))))</f>
        <v/>
      </c>
      <c r="R4" s="1434" t="s">
        <v>265</v>
      </c>
      <c r="S4" s="1435"/>
      <c r="T4" s="1510">
        <f>'Headline Results'!H51</f>
        <v>1.012467323068333</v>
      </c>
      <c r="U4" s="1511"/>
      <c r="V4" s="1505"/>
      <c r="W4" s="1505"/>
      <c r="X4" s="1505"/>
      <c r="Y4" s="1505"/>
      <c r="Z4" s="1505"/>
      <c r="AA4" s="1505"/>
      <c r="AD4" s="330"/>
      <c r="AE4" s="330"/>
      <c r="AF4" s="330"/>
      <c r="AG4" s="330"/>
      <c r="AK4" s="190"/>
      <c r="AL4" s="190"/>
      <c r="AM4" s="190"/>
    </row>
    <row r="5" spans="1:43" ht="15" customHeight="1" thickBot="1" x14ac:dyDescent="0.3">
      <c r="R5" s="1436" t="s">
        <v>267</v>
      </c>
      <c r="S5" s="1430"/>
      <c r="T5" s="1430" t="str" cm="1">
        <f t="array" ref="T5">IF(OR('Trading Summary Area Habitats'!G5:G8="No ▲"), "No - check trading summaries ▲", "Yes ✓")</f>
        <v>Yes ✓</v>
      </c>
      <c r="U5" s="1431"/>
      <c r="V5" s="1505"/>
      <c r="W5" s="1505"/>
      <c r="X5" s="1505"/>
      <c r="Y5" s="1505"/>
      <c r="Z5" s="1505"/>
      <c r="AA5" s="1505"/>
      <c r="AD5" s="1504" t="str">
        <f>IF(Q12&lt;&gt;A12,"Change in broad habitat type detected. Check compliance with guidance.","")</f>
        <v/>
      </c>
      <c r="AE5" s="1504"/>
      <c r="AF5" s="1504"/>
      <c r="AG5" s="1504"/>
      <c r="AH5" s="1504"/>
      <c r="AI5" s="1504"/>
    </row>
    <row r="6" spans="1:43" ht="15.75" customHeight="1" x14ac:dyDescent="0.25">
      <c r="R6" s="1506" t="str" cm="1">
        <f t="array" ref="R6">IF(OR(Q11:Q258="watercourse footprint"),"Please ensure the watercourse details for any watercourse footprints recorded are included in the watercourse tabs ⚠", "")</f>
        <v/>
      </c>
      <c r="S6" s="1506"/>
      <c r="T6" s="1506"/>
      <c r="AD6" s="1504"/>
      <c r="AE6" s="1504"/>
      <c r="AF6" s="1504"/>
      <c r="AG6" s="1504"/>
      <c r="AH6" s="1504"/>
      <c r="AI6" s="1504"/>
    </row>
    <row r="7" spans="1:43" x14ac:dyDescent="0.25">
      <c r="E7" s="36"/>
      <c r="F7" s="36"/>
      <c r="R7" s="1506"/>
      <c r="S7" s="1506"/>
      <c r="T7" s="1506"/>
    </row>
    <row r="8" spans="1:43" ht="18" customHeight="1" thickBot="1" x14ac:dyDescent="0.3">
      <c r="R8" s="1507"/>
      <c r="S8" s="1507"/>
      <c r="T8" s="1507"/>
    </row>
    <row r="9" spans="1:43" ht="15.6" customHeight="1" thickBot="1" x14ac:dyDescent="0.3">
      <c r="F9" s="41"/>
      <c r="G9" s="41"/>
      <c r="H9" s="41"/>
      <c r="I9" s="41"/>
      <c r="J9" s="41"/>
      <c r="K9" s="41"/>
      <c r="L9" s="41"/>
      <c r="M9" s="41"/>
      <c r="N9" s="41"/>
      <c r="O9" s="41"/>
      <c r="P9" s="41"/>
      <c r="Q9" s="1479" t="s">
        <v>311</v>
      </c>
      <c r="R9" s="1480"/>
      <c r="S9" s="1480"/>
      <c r="T9" s="1480"/>
      <c r="U9" s="1480"/>
      <c r="V9" s="1480"/>
      <c r="W9" s="1480"/>
      <c r="X9" s="1480"/>
      <c r="Y9" s="1480"/>
      <c r="Z9" s="1480"/>
      <c r="AA9" s="1480"/>
      <c r="AB9" s="1480"/>
      <c r="AC9" s="1480"/>
      <c r="AD9" s="1480"/>
      <c r="AE9" s="1480"/>
      <c r="AF9" s="1480"/>
      <c r="AG9" s="1480"/>
      <c r="AH9" s="1480"/>
      <c r="AI9" s="1480"/>
      <c r="AJ9" s="1480"/>
      <c r="AK9" s="1480"/>
      <c r="AL9" s="1480"/>
      <c r="AM9" s="1481"/>
    </row>
    <row r="10" spans="1:43" ht="28.2" customHeight="1" thickBot="1" x14ac:dyDescent="0.3">
      <c r="F10" s="1479" t="s">
        <v>332</v>
      </c>
      <c r="G10" s="1480"/>
      <c r="H10" s="1480"/>
      <c r="I10" s="1480"/>
      <c r="J10" s="1480"/>
      <c r="K10" s="1480"/>
      <c r="L10" s="1480"/>
      <c r="M10" s="1480"/>
      <c r="N10" s="1480"/>
      <c r="O10" s="1481"/>
      <c r="P10" s="191"/>
      <c r="Q10" s="1486" t="s">
        <v>333</v>
      </c>
      <c r="R10" s="1487"/>
      <c r="S10" s="308"/>
      <c r="T10" s="1503" t="s">
        <v>334</v>
      </c>
      <c r="U10" s="1487"/>
      <c r="V10" s="1490" t="s">
        <v>335</v>
      </c>
      <c r="W10" s="1495" t="s">
        <v>269</v>
      </c>
      <c r="X10" s="1495" t="s">
        <v>286</v>
      </c>
      <c r="Y10" s="1495" t="s">
        <v>270</v>
      </c>
      <c r="Z10" s="1493" t="s">
        <v>286</v>
      </c>
      <c r="AA10" s="1488" t="s">
        <v>271</v>
      </c>
      <c r="AB10" s="1489"/>
      <c r="AC10" s="1489"/>
      <c r="AD10" s="1495" t="s">
        <v>336</v>
      </c>
      <c r="AE10" s="1495"/>
      <c r="AF10" s="1495"/>
      <c r="AG10" s="1495"/>
      <c r="AH10" s="1495"/>
      <c r="AI10" s="1495"/>
      <c r="AJ10" s="1495" t="s">
        <v>337</v>
      </c>
      <c r="AK10" s="1495"/>
      <c r="AL10" s="1495"/>
      <c r="AM10" s="1493"/>
      <c r="AN10" s="1443" t="s">
        <v>316</v>
      </c>
      <c r="AO10" s="1486" t="s">
        <v>276</v>
      </c>
      <c r="AP10" s="1487"/>
    </row>
    <row r="11" spans="1:43" s="37" customFormat="1" ht="60" customHeight="1" thickBot="1" x14ac:dyDescent="0.3">
      <c r="A11" s="302" t="s">
        <v>282</v>
      </c>
      <c r="B11" s="302" t="s">
        <v>338</v>
      </c>
      <c r="C11" s="302" t="s">
        <v>280</v>
      </c>
      <c r="E11" s="286" t="s">
        <v>339</v>
      </c>
      <c r="F11" s="290" t="s">
        <v>340</v>
      </c>
      <c r="G11" s="290" t="s">
        <v>341</v>
      </c>
      <c r="H11" s="290" t="s">
        <v>342</v>
      </c>
      <c r="I11" s="290" t="s">
        <v>343</v>
      </c>
      <c r="J11" s="290" t="s">
        <v>344</v>
      </c>
      <c r="K11" s="290" t="s">
        <v>345</v>
      </c>
      <c r="L11" s="290" t="s">
        <v>346</v>
      </c>
      <c r="M11" s="290" t="s">
        <v>347</v>
      </c>
      <c r="N11" s="290" t="s">
        <v>348</v>
      </c>
      <c r="O11" s="288" t="s">
        <v>272</v>
      </c>
      <c r="P11" s="284" t="s">
        <v>349</v>
      </c>
      <c r="Q11" s="297" t="s">
        <v>350</v>
      </c>
      <c r="R11" s="59" t="s">
        <v>313</v>
      </c>
      <c r="S11" s="285" t="s">
        <v>313</v>
      </c>
      <c r="T11" s="287" t="s">
        <v>351</v>
      </c>
      <c r="U11" s="289" t="s">
        <v>352</v>
      </c>
      <c r="V11" s="1491"/>
      <c r="W11" s="1496"/>
      <c r="X11" s="1496"/>
      <c r="Y11" s="1496"/>
      <c r="Z11" s="1494"/>
      <c r="AA11" s="297" t="s">
        <v>271</v>
      </c>
      <c r="AB11" s="303" t="s">
        <v>271</v>
      </c>
      <c r="AC11" s="304" t="s">
        <v>317</v>
      </c>
      <c r="AD11" s="297" t="s">
        <v>318</v>
      </c>
      <c r="AE11" s="305" t="s">
        <v>353</v>
      </c>
      <c r="AF11" s="305" t="s">
        <v>354</v>
      </c>
      <c r="AG11" s="305" t="s">
        <v>321</v>
      </c>
      <c r="AH11" s="305" t="s">
        <v>322</v>
      </c>
      <c r="AI11" s="298" t="s">
        <v>323</v>
      </c>
      <c r="AJ11" s="297" t="s">
        <v>355</v>
      </c>
      <c r="AK11" s="305" t="s">
        <v>325</v>
      </c>
      <c r="AL11" s="305" t="s">
        <v>356</v>
      </c>
      <c r="AM11" s="307" t="s">
        <v>327</v>
      </c>
      <c r="AN11" s="1492"/>
      <c r="AO11" s="287" t="s">
        <v>295</v>
      </c>
      <c r="AP11" s="289" t="s">
        <v>296</v>
      </c>
      <c r="AQ11" s="48" t="s">
        <v>297</v>
      </c>
    </row>
    <row r="12" spans="1:43" x14ac:dyDescent="0.25">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x14ac:dyDescent="0.25">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x14ac:dyDescent="0.25">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x14ac:dyDescent="0.25">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x14ac:dyDescent="0.25">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x14ac:dyDescent="0.25">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x14ac:dyDescent="0.25">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x14ac:dyDescent="0.25">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x14ac:dyDescent="0.25">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x14ac:dyDescent="0.25">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x14ac:dyDescent="0.25">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x14ac:dyDescent="0.25">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x14ac:dyDescent="0.25">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x14ac:dyDescent="0.25">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x14ac:dyDescent="0.25">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x14ac:dyDescent="0.25">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x14ac:dyDescent="0.25">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x14ac:dyDescent="0.25">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x14ac:dyDescent="0.25">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x14ac:dyDescent="0.25">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x14ac:dyDescent="0.25">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x14ac:dyDescent="0.25">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x14ac:dyDescent="0.25">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x14ac:dyDescent="0.25">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x14ac:dyDescent="0.25">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x14ac:dyDescent="0.25">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x14ac:dyDescent="0.25">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x14ac:dyDescent="0.25">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x14ac:dyDescent="0.25">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x14ac:dyDescent="0.25">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x14ac:dyDescent="0.25">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x14ac:dyDescent="0.25">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x14ac:dyDescent="0.25">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x14ac:dyDescent="0.25">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x14ac:dyDescent="0.25">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x14ac:dyDescent="0.25">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x14ac:dyDescent="0.25">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x14ac:dyDescent="0.25">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x14ac:dyDescent="0.25">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x14ac:dyDescent="0.25">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x14ac:dyDescent="0.25">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x14ac:dyDescent="0.25">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x14ac:dyDescent="0.25">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x14ac:dyDescent="0.25">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x14ac:dyDescent="0.25">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x14ac:dyDescent="0.25">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x14ac:dyDescent="0.25">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x14ac:dyDescent="0.25">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x14ac:dyDescent="0.25">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x14ac:dyDescent="0.25">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x14ac:dyDescent="0.25">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x14ac:dyDescent="0.25">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x14ac:dyDescent="0.25">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x14ac:dyDescent="0.25">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x14ac:dyDescent="0.25">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x14ac:dyDescent="0.25">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x14ac:dyDescent="0.25">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x14ac:dyDescent="0.25">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x14ac:dyDescent="0.25">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x14ac:dyDescent="0.25">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x14ac:dyDescent="0.25">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x14ac:dyDescent="0.25">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x14ac:dyDescent="0.25">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x14ac:dyDescent="0.25">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x14ac:dyDescent="0.25">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x14ac:dyDescent="0.25">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x14ac:dyDescent="0.25">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x14ac:dyDescent="0.25">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x14ac:dyDescent="0.25">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x14ac:dyDescent="0.25">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x14ac:dyDescent="0.25">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x14ac:dyDescent="0.25">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x14ac:dyDescent="0.25">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x14ac:dyDescent="0.25">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x14ac:dyDescent="0.25">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x14ac:dyDescent="0.25">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x14ac:dyDescent="0.25">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x14ac:dyDescent="0.25">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x14ac:dyDescent="0.25">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x14ac:dyDescent="0.25">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x14ac:dyDescent="0.25">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x14ac:dyDescent="0.25">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x14ac:dyDescent="0.25">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x14ac:dyDescent="0.25">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x14ac:dyDescent="0.25">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x14ac:dyDescent="0.25">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x14ac:dyDescent="0.25">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x14ac:dyDescent="0.25">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x14ac:dyDescent="0.25">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x14ac:dyDescent="0.25">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x14ac:dyDescent="0.25">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x14ac:dyDescent="0.25">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x14ac:dyDescent="0.25">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x14ac:dyDescent="0.25">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x14ac:dyDescent="0.25">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x14ac:dyDescent="0.25">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x14ac:dyDescent="0.25">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x14ac:dyDescent="0.25">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x14ac:dyDescent="0.25">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x14ac:dyDescent="0.25">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x14ac:dyDescent="0.25">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x14ac:dyDescent="0.25">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x14ac:dyDescent="0.25">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x14ac:dyDescent="0.25">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x14ac:dyDescent="0.25">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x14ac:dyDescent="0.25">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x14ac:dyDescent="0.25">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x14ac:dyDescent="0.25">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x14ac:dyDescent="0.25">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x14ac:dyDescent="0.25">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x14ac:dyDescent="0.25">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x14ac:dyDescent="0.25">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x14ac:dyDescent="0.25">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x14ac:dyDescent="0.25">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x14ac:dyDescent="0.25">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x14ac:dyDescent="0.25">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x14ac:dyDescent="0.25">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x14ac:dyDescent="0.25">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x14ac:dyDescent="0.25">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x14ac:dyDescent="0.25">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x14ac:dyDescent="0.25">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x14ac:dyDescent="0.25">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x14ac:dyDescent="0.25">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x14ac:dyDescent="0.25">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x14ac:dyDescent="0.25">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x14ac:dyDescent="0.25">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x14ac:dyDescent="0.25">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x14ac:dyDescent="0.25">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x14ac:dyDescent="0.25">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x14ac:dyDescent="0.25">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x14ac:dyDescent="0.25">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x14ac:dyDescent="0.25">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x14ac:dyDescent="0.25">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x14ac:dyDescent="0.25">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x14ac:dyDescent="0.25">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x14ac:dyDescent="0.25">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x14ac:dyDescent="0.25">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x14ac:dyDescent="0.25">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x14ac:dyDescent="0.25">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x14ac:dyDescent="0.25">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x14ac:dyDescent="0.25">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x14ac:dyDescent="0.25">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x14ac:dyDescent="0.25">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x14ac:dyDescent="0.25">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x14ac:dyDescent="0.25">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x14ac:dyDescent="0.25">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x14ac:dyDescent="0.25">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x14ac:dyDescent="0.25">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x14ac:dyDescent="0.25">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x14ac:dyDescent="0.25">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x14ac:dyDescent="0.25">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x14ac:dyDescent="0.25">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x14ac:dyDescent="0.25">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x14ac:dyDescent="0.25">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x14ac:dyDescent="0.25">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x14ac:dyDescent="0.25">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x14ac:dyDescent="0.25">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x14ac:dyDescent="0.25">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x14ac:dyDescent="0.25">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x14ac:dyDescent="0.25">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x14ac:dyDescent="0.25">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x14ac:dyDescent="0.25">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x14ac:dyDescent="0.25">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x14ac:dyDescent="0.25">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x14ac:dyDescent="0.25">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x14ac:dyDescent="0.25">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x14ac:dyDescent="0.25">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x14ac:dyDescent="0.25">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x14ac:dyDescent="0.25">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x14ac:dyDescent="0.25">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x14ac:dyDescent="0.25">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x14ac:dyDescent="0.25">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x14ac:dyDescent="0.25">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x14ac:dyDescent="0.25">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x14ac:dyDescent="0.25">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x14ac:dyDescent="0.25">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x14ac:dyDescent="0.25">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x14ac:dyDescent="0.25">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x14ac:dyDescent="0.25">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x14ac:dyDescent="0.25">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x14ac:dyDescent="0.25">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x14ac:dyDescent="0.25">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x14ac:dyDescent="0.25">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x14ac:dyDescent="0.25">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x14ac:dyDescent="0.25">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x14ac:dyDescent="0.25">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x14ac:dyDescent="0.25">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x14ac:dyDescent="0.25">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x14ac:dyDescent="0.25">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x14ac:dyDescent="0.25">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x14ac:dyDescent="0.25">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x14ac:dyDescent="0.25">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x14ac:dyDescent="0.25">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x14ac:dyDescent="0.25">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x14ac:dyDescent="0.25">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x14ac:dyDescent="0.25">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x14ac:dyDescent="0.25">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x14ac:dyDescent="0.25">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x14ac:dyDescent="0.25">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x14ac:dyDescent="0.25">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x14ac:dyDescent="0.25">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x14ac:dyDescent="0.25">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x14ac:dyDescent="0.25">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x14ac:dyDescent="0.25">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x14ac:dyDescent="0.25">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x14ac:dyDescent="0.25">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x14ac:dyDescent="0.25">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x14ac:dyDescent="0.25">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x14ac:dyDescent="0.25">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x14ac:dyDescent="0.25">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x14ac:dyDescent="0.25">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x14ac:dyDescent="0.25">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x14ac:dyDescent="0.25">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x14ac:dyDescent="0.25">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x14ac:dyDescent="0.25">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x14ac:dyDescent="0.25">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x14ac:dyDescent="0.25">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x14ac:dyDescent="0.25">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x14ac:dyDescent="0.25">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x14ac:dyDescent="0.25">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x14ac:dyDescent="0.25">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x14ac:dyDescent="0.25">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x14ac:dyDescent="0.25">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x14ac:dyDescent="0.25">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x14ac:dyDescent="0.25">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x14ac:dyDescent="0.25">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x14ac:dyDescent="0.25">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x14ac:dyDescent="0.25">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x14ac:dyDescent="0.25">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x14ac:dyDescent="0.25">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x14ac:dyDescent="0.25">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x14ac:dyDescent="0.25">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x14ac:dyDescent="0.25">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x14ac:dyDescent="0.25">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x14ac:dyDescent="0.25">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x14ac:dyDescent="0.25">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x14ac:dyDescent="0.25">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x14ac:dyDescent="0.25">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x14ac:dyDescent="0.25">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x14ac:dyDescent="0.25">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x14ac:dyDescent="0.25">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x14ac:dyDescent="0.25">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x14ac:dyDescent="0.25">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x14ac:dyDescent="0.25">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x14ac:dyDescent="0.25">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4.4" thickBot="1" x14ac:dyDescent="0.3">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4.4" thickBot="1" x14ac:dyDescent="0.3">
      <c r="E258" s="324"/>
      <c r="F258" s="324"/>
      <c r="G258" s="324"/>
      <c r="H258" s="324"/>
      <c r="I258" s="324"/>
      <c r="J258" s="324"/>
      <c r="K258" s="324"/>
      <c r="L258" s="324"/>
      <c r="M258" s="324"/>
      <c r="N258" s="324"/>
      <c r="O258" s="324"/>
      <c r="P258" s="324"/>
      <c r="Q258" s="324"/>
      <c r="R258" s="324"/>
      <c r="S258" s="324"/>
      <c r="T258" s="324"/>
      <c r="U258" s="890" t="s">
        <v>329</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7.399999999999999" x14ac:dyDescent="0.3">
      <c r="V259" s="1497" t="str">
        <f>IF(V258&lt;&gt;'A-1 On-Site Habitat Baseline'!T259,"Error - Area of habitat enhancement must match the area from sheet A1 ▲","")</f>
        <v/>
      </c>
      <c r="W259" s="1497"/>
      <c r="X259" s="1497"/>
      <c r="Y259" s="1497"/>
      <c r="Z259" s="1497"/>
      <c r="AA259" s="1497"/>
    </row>
    <row r="260" spans="1:43" x14ac:dyDescent="0.25"/>
    <row r="261" spans="1:43" x14ac:dyDescent="0.25"/>
    <row r="262" spans="1:43" x14ac:dyDescent="0.25"/>
    <row r="263" spans="1:43" x14ac:dyDescent="0.25"/>
    <row r="264" spans="1:43" x14ac:dyDescent="0.25"/>
    <row r="265" spans="1:43" x14ac:dyDescent="0.25"/>
    <row r="266" spans="1:43" x14ac:dyDescent="0.25"/>
  </sheetData>
  <sheetProtection algorithmName="SHA-512" hashValue="BUSQndD7QOSvSAEiifi+lzLI9es1AomV9mv94NGE9WOUs3j/JzTPWGnSaFZND9WKpztK0FzSi6LW550TsGIF0w==" saltValue="wB4eVOiU8uku6FhwWUqwfg=="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 ref="T5:U5"/>
    <mergeCell ref="R2:U2"/>
    <mergeCell ref="AO10:AP10"/>
    <mergeCell ref="F10:O10"/>
    <mergeCell ref="AA10:AC10"/>
    <mergeCell ref="V10:V11"/>
    <mergeCell ref="AN10:AN11"/>
    <mergeCell ref="Z10:Z11"/>
    <mergeCell ref="Y10:Y11"/>
    <mergeCell ref="X10:X11"/>
    <mergeCell ref="W10:W11"/>
    <mergeCell ref="AD10:AI10"/>
  </mergeCells>
  <conditionalFormatting sqref="Z12:Z257">
    <cfRule type="cellIs" dxfId="674" priority="51" operator="equal">
      <formula>"Not Possible"</formula>
    </cfRule>
  </conditionalFormatting>
  <conditionalFormatting sqref="AN12:AN257">
    <cfRule type="containsText" dxfId="673" priority="42" operator="containsText" text="Existing Value Not Required">
      <formula>NOT(ISERROR(SEARCH("Existing Value Not Required",AN12)))</formula>
    </cfRule>
    <cfRule type="containsText" dxfId="672" priority="43" operator="containsText" text="Existing Value Required">
      <formula>NOT(ISERROR(SEARCH("Existing Value Required",AN12)))</formula>
    </cfRule>
  </conditionalFormatting>
  <conditionalFormatting sqref="AN256:AN257">
    <cfRule type="containsText" dxfId="671" priority="40" operator="containsText" text="Existing Value Not Required">
      <formula>NOT(ISERROR(SEARCH("Existing Value Not Required",AN256)))</formula>
    </cfRule>
    <cfRule type="containsText" dxfId="670" priority="41" operator="containsText" text="Existing Value Required">
      <formula>NOT(ISERROR(SEARCH("Existing Value Required",AN256)))</formula>
    </cfRule>
  </conditionalFormatting>
  <conditionalFormatting sqref="AD2">
    <cfRule type="containsText" dxfId="669" priority="39" operator="containsText" text="Note">
      <formula>NOT(ISERROR(SEARCH("Note",AD2)))</formula>
    </cfRule>
  </conditionalFormatting>
  <conditionalFormatting sqref="T12:T257">
    <cfRule type="containsText" dxfId="668" priority="38" operator="containsText" text="Error">
      <formula>NOT(ISERROR(SEARCH("Error",T12)))</formula>
    </cfRule>
  </conditionalFormatting>
  <conditionalFormatting sqref="U12:U257">
    <cfRule type="containsText" dxfId="667" priority="37" operator="containsText" text="Error">
      <formula>NOT(ISERROR(SEARCH("Error",U12)))</formula>
    </cfRule>
  </conditionalFormatting>
  <conditionalFormatting sqref="AB12:AB257">
    <cfRule type="containsText" dxfId="666" priority="36" operator="containsText" text="Spatial">
      <formula>NOT(ISERROR(SEARCH("Spatial",AB12)))</formula>
    </cfRule>
  </conditionalFormatting>
  <conditionalFormatting sqref="AC12:AC257">
    <cfRule type="containsText" dxfId="665" priority="35" operator="containsText" text="Spatial">
      <formula>NOT(ISERROR(SEARCH("Spatial",AC12)))</formula>
    </cfRule>
  </conditionalFormatting>
  <conditionalFormatting sqref="AD12:AD257">
    <cfRule type="containsText" dxfId="664" priority="34" operator="containsText" text="Check Data">
      <formula>NOT(ISERROR(SEARCH("Check Data",AD12)))</formula>
    </cfRule>
  </conditionalFormatting>
  <conditionalFormatting sqref="AG12:AG257">
    <cfRule type="containsText" dxfId="663" priority="32" operator="containsText" text="Error">
      <formula>NOT(ISERROR(SEARCH("Error",AG12)))</formula>
    </cfRule>
    <cfRule type="containsText" dxfId="662" priority="33" operator="containsText" text="Check">
      <formula>NOT(ISERROR(SEARCH("Check",AG12)))</formula>
    </cfRule>
  </conditionalFormatting>
  <conditionalFormatting sqref="AH12:AH257">
    <cfRule type="containsText" dxfId="661" priority="30" operator="containsText" text="Check Data ⚠">
      <formula>NOT(ISERROR(SEARCH("Check Data ⚠",AH12)))</formula>
    </cfRule>
    <cfRule type="containsText" dxfId="660" priority="31" operator="containsText" text="Error ▲">
      <formula>NOT(ISERROR(SEARCH("Error ▲",AH12)))</formula>
    </cfRule>
  </conditionalFormatting>
  <conditionalFormatting sqref="AI12:AI257">
    <cfRule type="containsText" dxfId="659" priority="28" operator="containsText" text="Check Data ⚠">
      <formula>NOT(ISERROR(SEARCH("Check Data ⚠",AI12)))</formula>
    </cfRule>
  </conditionalFormatting>
  <conditionalFormatting sqref="AK12:AK257">
    <cfRule type="containsText" dxfId="658" priority="27"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57" priority="26" operator="containsText" text="Check Data ⚠">
      <formula>NOT(ISERROR(SEARCH("Check Data ⚠",AM12)))</formula>
    </cfRule>
  </conditionalFormatting>
  <conditionalFormatting sqref="O12:O257">
    <cfRule type="beginsWith" dxfId="656" priority="22" operator="beginsWith" text="Bespoke">
      <formula>LEFT(O12,LEN("Bespoke"))="Bespoke"</formula>
    </cfRule>
    <cfRule type="beginsWith" dxfId="655" priority="23" operator="beginsWith" text="Same distinctiveness">
      <formula>LEFT(O12,LEN("Same distinctiveness"))="Same distinctiveness"</formula>
    </cfRule>
    <cfRule type="beginsWith" dxfId="654" priority="24" operator="beginsWith" text="Same broad">
      <formula>LEFT(O12,LEN("Same broad"))="Same broad"</formula>
    </cfRule>
    <cfRule type="beginsWith" dxfId="653" priority="25" operator="beginsWith" text="Same Habitat">
      <formula>LEFT(O12,LEN("Same Habitat"))="Same Habitat"</formula>
    </cfRule>
  </conditionalFormatting>
  <conditionalFormatting sqref="V259:AA259">
    <cfRule type="containsText" dxfId="652" priority="21" operator="containsText" text="Error">
      <formula>NOT(ISERROR(SEARCH("Error",V259)))</formula>
    </cfRule>
  </conditionalFormatting>
  <conditionalFormatting sqref="AD5">
    <cfRule type="containsText" dxfId="651" priority="20" operator="containsText" text="Change">
      <formula>NOT(ISERROR(SEARCH("Change",AD5)))</formula>
    </cfRule>
  </conditionalFormatting>
  <conditionalFormatting sqref="T3">
    <cfRule type="containsText" dxfId="650" priority="7" operator="containsText" text="Check">
      <formula>NOT(ISERROR(SEARCH("Check",T3)))</formula>
    </cfRule>
    <cfRule type="containsText" dxfId="649" priority="8" operator="containsText" text="Error">
      <formula>NOT(ISERROR(SEARCH("Error",T3)))</formula>
    </cfRule>
  </conditionalFormatting>
  <conditionalFormatting sqref="T4">
    <cfRule type="containsText" dxfId="648" priority="4" operator="containsText" text="Error">
      <formula>NOT(ISERROR(SEARCH("Error",T4)))</formula>
    </cfRule>
    <cfRule type="containsText" dxfId="647" priority="6" operator="containsText" text="Check">
      <formula>NOT(ISERROR(SEARCH("Check",T4)))</formula>
    </cfRule>
    <cfRule type="cellIs" dxfId="646" priority="17" operator="lessThan">
      <formula>0</formula>
    </cfRule>
  </conditionalFormatting>
  <conditionalFormatting sqref="T5">
    <cfRule type="containsText" dxfId="645" priority="11" operator="containsText" text="No">
      <formula>NOT(ISERROR(SEARCH("No",T5)))</formula>
    </cfRule>
    <cfRule type="containsText" dxfId="644" priority="12" operator="containsText" text="Yes">
      <formula>NOT(ISERROR(SEARCH("Yes",T5)))</formula>
    </cfRule>
  </conditionalFormatting>
  <conditionalFormatting sqref="V2:AA5">
    <cfRule type="containsText" dxfId="643" priority="10" operator="containsText" text="Check">
      <formula>NOT(ISERROR(SEARCH("Check",V2)))</formula>
    </cfRule>
  </conditionalFormatting>
  <conditionalFormatting sqref="R6:T8">
    <cfRule type="containsText" dxfId="642" priority="9" operator="containsText" text="⚠">
      <formula>NOT(ISERROR(SEARCH("⚠",R6)))</formula>
    </cfRule>
  </conditionalFormatting>
  <conditionalFormatting sqref="T4:U4">
    <cfRule type="cellIs" dxfId="641" priority="16" operator="equal">
      <formula>0</formula>
    </cfRule>
  </conditionalFormatting>
  <conditionalFormatting sqref="U258">
    <cfRule type="containsText" dxfId="640" priority="2" operator="containsText" text="Error">
      <formula>NOT(ISERROR(SEARCH("Error",U258)))</formula>
    </cfRule>
    <cfRule type="containsText" dxfId="639" priority="3" operator="containsText" text="Check">
      <formula>NOT(ISERROR(SEARCH("Check",U258)))</formula>
    </cfRule>
  </conditionalFormatting>
  <conditionalFormatting sqref="T3:U5">
    <cfRule type="containsText" dxfId="638" priority="1" operator="containsText" text="N/A">
      <formula>NOT(ISERROR(SEARCH("N/A",T3)))</formula>
    </cfRule>
  </conditionalFormatting>
  <dataValidations count="3">
    <dataValidation allowBlank="1" showErrorMessage="1" errorTitle="Invalid Habitat" error="Select from List" sqref="S12:S257" xr:uid="{00000000-0002-0000-0D00-000001000000}"/>
    <dataValidation type="list" allowBlank="1" showInputMessage="1" showErrorMessage="1" sqref="Y12:Y257" xr:uid="{00000000-0002-0000-0D00-000002000000}">
      <formula1>INDIRECT(C12)</formula1>
    </dataValidation>
    <dataValidation type="list" allowBlank="1" showInputMessage="1" showErrorMessage="1" sqref="R12:R257" xr:uid="{4E63D83B-2213-4261-A0F6-5924AE99B179}">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9"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7"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8"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3000000}">
          <x14:formula1>
            <xm:f>'G-3 Multipliers'!$L$4:$L$6</xm:f>
          </x14:formula1>
          <xm:sqref>AA12:AA257</xm:sqref>
        </x14:dataValidation>
        <x14:dataValidation type="list" allowBlank="1" showInputMessage="1" showErrorMessage="1" xr:uid="{00000000-0002-0000-0D00-000004000000}">
          <x14:formula1>
            <xm:f>'G-4 Temporal multipliers'!$A$42:$A$73</xm:f>
          </x14:formula1>
          <xm:sqref>AE12:AF257</xm:sqref>
        </x14:dataValidation>
        <x14:dataValidation type="list" allowBlank="1" showInputMessage="1" showErrorMessage="1" xr:uid="{8576CF1E-39FA-4F90-B507-636903885C57}">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7734375" defaultRowHeight="13.8" zeroHeight="1" x14ac:dyDescent="0.25"/>
  <cols>
    <col min="1" max="1" width="17.77734375" style="30" hidden="1" customWidth="1"/>
    <col min="2" max="2" width="14.77734375" style="30" hidden="1" customWidth="1"/>
    <col min="3" max="3" width="20.5546875" style="30" hidden="1" customWidth="1"/>
    <col min="4" max="4" width="10.44140625" style="30" customWidth="1"/>
    <col min="5" max="5" width="22.21875" style="30" customWidth="1"/>
    <col min="6" max="6" width="70.21875" style="30" customWidth="1"/>
    <col min="7" max="7" width="19.77734375" style="30" hidden="1" customWidth="1"/>
    <col min="8" max="8" width="19.5546875" style="33" customWidth="1"/>
    <col min="9" max="9" width="17.77734375" style="30" customWidth="1"/>
    <col min="10" max="10" width="8.77734375" style="30" customWidth="1"/>
    <col min="11" max="11" width="14.21875" style="33" customWidth="1"/>
    <col min="12" max="12" width="9.5546875" style="30" customWidth="1"/>
    <col min="13" max="13" width="41.77734375" style="30" customWidth="1"/>
    <col min="14" max="14" width="12.77734375" style="30" customWidth="1"/>
    <col min="15" max="15" width="14.77734375" style="33" customWidth="1"/>
    <col min="16" max="16" width="32.77734375" style="33" customWidth="1"/>
    <col min="17" max="17" width="8.77734375" style="30" hidden="1" customWidth="1"/>
    <col min="18" max="18" width="82.77734375" style="33" customWidth="1"/>
    <col min="19" max="19" width="7.77734375" style="30" hidden="1" customWidth="1"/>
    <col min="20" max="20" width="17.21875" style="33" customWidth="1"/>
    <col min="21" max="21" width="3.77734375" style="30" customWidth="1"/>
    <col min="22" max="22" width="11.5546875" style="33" customWidth="1"/>
    <col min="23" max="23" width="12.21875" style="33" customWidth="1"/>
    <col min="24" max="24" width="10.21875" style="33" customWidth="1"/>
    <col min="25" max="25" width="13" style="33" customWidth="1"/>
    <col min="26" max="26" width="13.21875" style="33" customWidth="1"/>
    <col min="27" max="27" width="15.5546875" style="33" customWidth="1"/>
    <col min="28" max="28" width="16.77734375" style="30" customWidth="1"/>
    <col min="29" max="30" width="50.21875" style="30" customWidth="1"/>
    <col min="31" max="31" width="14.21875" style="30" customWidth="1"/>
    <col min="32" max="32" width="17.21875" style="30" customWidth="1"/>
    <col min="33" max="33" width="11.21875" style="11" hidden="1" customWidth="1"/>
    <col min="34" max="34" width="8.77734375" style="11" hidden="1" customWidth="1"/>
    <col min="35" max="50" width="8.77734375" style="30" hidden="1" customWidth="1"/>
    <col min="51" max="51" width="10.21875" style="33" hidden="1" customWidth="1"/>
    <col min="52" max="55" width="8.77734375" style="30" hidden="1" customWidth="1"/>
    <col min="56" max="63" width="8.77734375" style="30" customWidth="1"/>
    <col min="64" max="64" width="13.44140625" style="30" customWidth="1"/>
    <col min="65" max="65" width="8.77734375" style="30" customWidth="1"/>
    <col min="66" max="16380" width="8.77734375" style="30"/>
    <col min="16381" max="16383" width="8.77734375" style="542"/>
    <col min="16384" max="16384" width="2.77734375" style="542" customWidth="1"/>
  </cols>
  <sheetData>
    <row r="1" spans="1:51 16381:16384" ht="12.75" customHeight="1" thickBot="1" x14ac:dyDescent="0.3"/>
    <row r="2" spans="1:51 16381:16384" ht="19.5" customHeight="1" thickBot="1" x14ac:dyDescent="0.35">
      <c r="D2" s="1528" t="str">
        <f>CONCATENATE("Project Name:", " ", Start!F12, "     ", "Map Reference:", " ", Start!F66)</f>
        <v xml:space="preserve">Project Name: Grove Farm Solar     Map Reference: </v>
      </c>
      <c r="E2" s="1529"/>
      <c r="F2" s="1530"/>
      <c r="I2" s="1437" t="s">
        <v>262</v>
      </c>
      <c r="J2" s="1438"/>
      <c r="K2" s="1438"/>
      <c r="L2" s="1438"/>
      <c r="M2" s="1439"/>
      <c r="O2" s="1527" t="str" cm="1">
        <f t="array" ref="O2">IF(OR(K11:K258 = "Fairly Good", K11:K258 = "Fairly Poor"),"A 'Fairly' Category has been used - check evidence to ensure this is appropriate ⚠", "")</f>
        <v/>
      </c>
      <c r="P2" s="1527"/>
      <c r="Q2" s="1527"/>
      <c r="R2" s="1527"/>
      <c r="S2" s="1527"/>
      <c r="T2" s="1527"/>
      <c r="U2" s="1527"/>
      <c r="V2" s="1527"/>
      <c r="W2" s="1527"/>
      <c r="X2" s="1527"/>
      <c r="Y2" s="1527"/>
      <c r="AY2" s="30"/>
    </row>
    <row r="3" spans="1:51 16381:16384" ht="15" customHeight="1" x14ac:dyDescent="0.25">
      <c r="D3" s="1521" t="str">
        <f ca="1">MID(CELL("filename",C1),FIND("]",CELL("filename",C1))+1,256)</f>
        <v>D-1 Off-Site Habitat Baseline</v>
      </c>
      <c r="E3" s="1522"/>
      <c r="F3" s="1523"/>
      <c r="I3" s="1486" t="s">
        <v>263</v>
      </c>
      <c r="J3" s="1503"/>
      <c r="K3" s="1503"/>
      <c r="L3" s="1531"/>
      <c r="M3" s="512">
        <f>'Headline Results'!H47</f>
        <v>97.897490402123225</v>
      </c>
      <c r="O3" s="1527"/>
      <c r="P3" s="1527"/>
      <c r="Q3" s="1527"/>
      <c r="R3" s="1527"/>
      <c r="S3" s="1527"/>
      <c r="T3" s="1527"/>
      <c r="U3" s="1527"/>
      <c r="V3" s="1527"/>
      <c r="W3" s="1527"/>
      <c r="X3" s="1527"/>
      <c r="Y3" s="1527"/>
      <c r="AY3" s="30"/>
    </row>
    <row r="4" spans="1:51 16381:16384" ht="19.95" customHeight="1" thickBot="1" x14ac:dyDescent="0.3">
      <c r="D4" s="1524"/>
      <c r="E4" s="1525"/>
      <c r="F4" s="1526"/>
      <c r="I4" s="1532" t="s">
        <v>265</v>
      </c>
      <c r="J4" s="1533"/>
      <c r="K4" s="1533"/>
      <c r="L4" s="1534"/>
      <c r="M4" s="513">
        <f>'Headline Results'!H51</f>
        <v>1.012467323068333</v>
      </c>
      <c r="O4" s="1527"/>
      <c r="P4" s="1527"/>
      <c r="Q4" s="1527"/>
      <c r="R4" s="1527"/>
      <c r="S4" s="1527"/>
      <c r="T4" s="1527"/>
      <c r="U4" s="1527"/>
      <c r="V4" s="1527"/>
      <c r="W4" s="1527"/>
      <c r="X4" s="1527"/>
      <c r="Y4" s="1527"/>
      <c r="AY4" s="30"/>
    </row>
    <row r="5" spans="1:51 16381:16384" ht="24" customHeight="1" thickBot="1" x14ac:dyDescent="0.3">
      <c r="I5" s="1535" t="s">
        <v>267</v>
      </c>
      <c r="J5" s="1536"/>
      <c r="K5" s="1536"/>
      <c r="L5" s="1537"/>
      <c r="M5" s="504" t="str" cm="1">
        <f t="array" ref="M5">IF(OR('Trading Summary Area Habitats'!G5:G8="No ▲"), "No - check trading summaries ▲", "Yes ✓")</f>
        <v>Yes ✓</v>
      </c>
      <c r="O5" s="1527"/>
      <c r="P5" s="1527"/>
      <c r="Q5" s="1527"/>
      <c r="R5" s="1527"/>
      <c r="S5" s="1527"/>
      <c r="T5" s="1527"/>
      <c r="U5" s="1527"/>
      <c r="V5" s="1527"/>
      <c r="W5" s="1527"/>
      <c r="X5" s="1527"/>
      <c r="Y5" s="1527"/>
      <c r="AY5" s="30"/>
    </row>
    <row r="6" spans="1:51 16381:16384" ht="15.75" customHeight="1" x14ac:dyDescent="0.25">
      <c r="I6" s="1512" t="str" cm="1">
        <f t="array" ref="I6">IF(OR(E11:E258="watercourse footprint"),"Please ensure the watercourse details for any watercourse footprints recorded are included in the watercourse tabs ⚠", "")</f>
        <v/>
      </c>
      <c r="J6" s="1512"/>
      <c r="K6" s="1512"/>
      <c r="L6" s="1512"/>
      <c r="M6" s="1512"/>
    </row>
    <row r="7" spans="1:51 16381:16384" ht="16.2" customHeight="1" x14ac:dyDescent="0.25">
      <c r="D7" s="102"/>
      <c r="E7" s="102"/>
      <c r="F7" s="102"/>
      <c r="I7" s="1513"/>
      <c r="J7" s="1513"/>
      <c r="K7" s="1513"/>
      <c r="L7" s="1513"/>
      <c r="M7" s="1513"/>
    </row>
    <row r="8" spans="1:51 16381:16384" ht="22.95" customHeight="1" thickBot="1" x14ac:dyDescent="0.3">
      <c r="D8" s="102"/>
      <c r="E8" s="102"/>
      <c r="F8" s="102"/>
      <c r="I8" s="1514"/>
      <c r="J8" s="1514"/>
      <c r="K8" s="1514"/>
      <c r="L8" s="1514"/>
      <c r="M8" s="1514"/>
    </row>
    <row r="9" spans="1:51 16381:16384" s="30" customFormat="1" ht="30" customHeight="1" thickBot="1" x14ac:dyDescent="0.3">
      <c r="D9" s="200"/>
      <c r="E9" s="1517" t="s">
        <v>268</v>
      </c>
      <c r="F9" s="1517"/>
      <c r="G9" s="1517"/>
      <c r="H9" s="1517"/>
      <c r="I9" s="1517" t="s">
        <v>269</v>
      </c>
      <c r="J9" s="1517"/>
      <c r="K9" s="1517" t="s">
        <v>357</v>
      </c>
      <c r="L9" s="1517"/>
      <c r="M9" s="1517" t="s">
        <v>271</v>
      </c>
      <c r="N9" s="1517"/>
      <c r="O9" s="1517"/>
      <c r="P9" s="1517" t="s">
        <v>272</v>
      </c>
      <c r="Q9" s="720" t="s">
        <v>273</v>
      </c>
      <c r="R9" s="1518" t="s">
        <v>358</v>
      </c>
      <c r="S9" s="1519"/>
      <c r="T9" s="719" t="s">
        <v>273</v>
      </c>
      <c r="U9" s="107"/>
      <c r="V9" s="1517" t="s">
        <v>274</v>
      </c>
      <c r="W9" s="1517"/>
      <c r="X9" s="1517"/>
      <c r="Y9" s="1517"/>
      <c r="Z9" s="1517"/>
      <c r="AA9" s="1517"/>
      <c r="AB9" s="1517" t="s">
        <v>275</v>
      </c>
      <c r="AC9" s="1515" t="s">
        <v>276</v>
      </c>
      <c r="AD9" s="1516"/>
      <c r="AG9" s="11" t="s">
        <v>266</v>
      </c>
      <c r="AH9" s="11" t="s">
        <v>266</v>
      </c>
      <c r="AJ9" s="124" t="s">
        <v>277</v>
      </c>
      <c r="AK9" s="124"/>
      <c r="AL9" s="124"/>
      <c r="AM9" s="124"/>
      <c r="AN9" s="124"/>
      <c r="AO9" s="124" t="s">
        <v>278</v>
      </c>
      <c r="AP9" s="124"/>
      <c r="AQ9" s="124"/>
      <c r="AR9" s="124"/>
      <c r="XFA9" s="542"/>
      <c r="XFB9" s="542"/>
      <c r="XFC9" s="542"/>
      <c r="XFD9" s="542"/>
    </row>
    <row r="10" spans="1:51 16381:16384" ht="57" customHeight="1" thickBot="1" x14ac:dyDescent="0.3">
      <c r="B10" s="101" t="s">
        <v>280</v>
      </c>
      <c r="D10" s="890" t="s">
        <v>339</v>
      </c>
      <c r="E10" s="720" t="s">
        <v>359</v>
      </c>
      <c r="F10" s="893" t="s">
        <v>33</v>
      </c>
      <c r="G10" s="833" t="s">
        <v>284</v>
      </c>
      <c r="H10" s="144" t="s">
        <v>285</v>
      </c>
      <c r="I10" s="834" t="s">
        <v>269</v>
      </c>
      <c r="J10" s="835" t="s">
        <v>286</v>
      </c>
      <c r="K10" s="140" t="s">
        <v>270</v>
      </c>
      <c r="L10" s="835" t="s">
        <v>286</v>
      </c>
      <c r="M10" s="834" t="s">
        <v>271</v>
      </c>
      <c r="N10" s="145" t="s">
        <v>271</v>
      </c>
      <c r="O10" s="144" t="s">
        <v>317</v>
      </c>
      <c r="P10" s="1520"/>
      <c r="Q10" s="747" t="s">
        <v>360</v>
      </c>
      <c r="R10" s="577" t="s">
        <v>361</v>
      </c>
      <c r="S10" s="821" t="s">
        <v>358</v>
      </c>
      <c r="T10" s="749" t="s">
        <v>288</v>
      </c>
      <c r="U10" s="107"/>
      <c r="V10" s="140" t="s">
        <v>289</v>
      </c>
      <c r="W10" s="145" t="s">
        <v>290</v>
      </c>
      <c r="X10" s="145" t="s">
        <v>291</v>
      </c>
      <c r="Y10" s="145" t="s">
        <v>292</v>
      </c>
      <c r="Z10" s="145" t="s">
        <v>362</v>
      </c>
      <c r="AA10" s="144" t="s">
        <v>294</v>
      </c>
      <c r="AB10" s="1520"/>
      <c r="AC10" s="140" t="s">
        <v>295</v>
      </c>
      <c r="AD10" s="145" t="s">
        <v>296</v>
      </c>
      <c r="AE10" s="43" t="s">
        <v>297</v>
      </c>
      <c r="AF10" s="42" t="s">
        <v>363</v>
      </c>
      <c r="AG10" s="743" t="s">
        <v>298</v>
      </c>
      <c r="AH10" s="743" t="s">
        <v>364</v>
      </c>
      <c r="AJ10" s="124" t="s">
        <v>300</v>
      </c>
      <c r="AK10" s="124" t="s">
        <v>301</v>
      </c>
      <c r="AL10" s="124" t="s">
        <v>302</v>
      </c>
      <c r="AM10" s="124" t="s">
        <v>303</v>
      </c>
      <c r="AN10" s="124"/>
      <c r="AO10" s="124" t="s">
        <v>300</v>
      </c>
      <c r="AP10" s="124" t="s">
        <v>301</v>
      </c>
      <c r="AQ10" s="124" t="s">
        <v>302</v>
      </c>
      <c r="AR10" s="124"/>
      <c r="AU10" s="30" t="s">
        <v>279</v>
      </c>
      <c r="AY10" s="145" t="s">
        <v>1673</v>
      </c>
    </row>
    <row r="11" spans="1:51 16381:16384" x14ac:dyDescent="0.25">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x14ac:dyDescent="0.25">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x14ac:dyDescent="0.25">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x14ac:dyDescent="0.25">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x14ac:dyDescent="0.25">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x14ac:dyDescent="0.25">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x14ac:dyDescent="0.25">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x14ac:dyDescent="0.25">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x14ac:dyDescent="0.25">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x14ac:dyDescent="0.25">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x14ac:dyDescent="0.25">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x14ac:dyDescent="0.25">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x14ac:dyDescent="0.25">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x14ac:dyDescent="0.25">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x14ac:dyDescent="0.25">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x14ac:dyDescent="0.25">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x14ac:dyDescent="0.25">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x14ac:dyDescent="0.25">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x14ac:dyDescent="0.25">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x14ac:dyDescent="0.25">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x14ac:dyDescent="0.25">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x14ac:dyDescent="0.25">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x14ac:dyDescent="0.25">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x14ac:dyDescent="0.25">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x14ac:dyDescent="0.25">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x14ac:dyDescent="0.25">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x14ac:dyDescent="0.25">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x14ac:dyDescent="0.25">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x14ac:dyDescent="0.25">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x14ac:dyDescent="0.25">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x14ac:dyDescent="0.25">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x14ac:dyDescent="0.25">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x14ac:dyDescent="0.25">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x14ac:dyDescent="0.25">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x14ac:dyDescent="0.25">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x14ac:dyDescent="0.25">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x14ac:dyDescent="0.25">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x14ac:dyDescent="0.25">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x14ac:dyDescent="0.25">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x14ac:dyDescent="0.25">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x14ac:dyDescent="0.25">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x14ac:dyDescent="0.25">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x14ac:dyDescent="0.25">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x14ac:dyDescent="0.25">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x14ac:dyDescent="0.25">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x14ac:dyDescent="0.25">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x14ac:dyDescent="0.25">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x14ac:dyDescent="0.25">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x14ac:dyDescent="0.25">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x14ac:dyDescent="0.25">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x14ac:dyDescent="0.25">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x14ac:dyDescent="0.25">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x14ac:dyDescent="0.25">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x14ac:dyDescent="0.25">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x14ac:dyDescent="0.25">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x14ac:dyDescent="0.25">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x14ac:dyDescent="0.25">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x14ac:dyDescent="0.25">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x14ac:dyDescent="0.25">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x14ac:dyDescent="0.25">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x14ac:dyDescent="0.25">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x14ac:dyDescent="0.25">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x14ac:dyDescent="0.25">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x14ac:dyDescent="0.25">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x14ac:dyDescent="0.25">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x14ac:dyDescent="0.25">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x14ac:dyDescent="0.25">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x14ac:dyDescent="0.25">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x14ac:dyDescent="0.25">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x14ac:dyDescent="0.25">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x14ac:dyDescent="0.25">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x14ac:dyDescent="0.25">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x14ac:dyDescent="0.25">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x14ac:dyDescent="0.25">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x14ac:dyDescent="0.25">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x14ac:dyDescent="0.25">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x14ac:dyDescent="0.25">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x14ac:dyDescent="0.25">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x14ac:dyDescent="0.25">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x14ac:dyDescent="0.25">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x14ac:dyDescent="0.25">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x14ac:dyDescent="0.25">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x14ac:dyDescent="0.25">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x14ac:dyDescent="0.25">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x14ac:dyDescent="0.25">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x14ac:dyDescent="0.25">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x14ac:dyDescent="0.25">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x14ac:dyDescent="0.25">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x14ac:dyDescent="0.25">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x14ac:dyDescent="0.25">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x14ac:dyDescent="0.25">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x14ac:dyDescent="0.25">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x14ac:dyDescent="0.25">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x14ac:dyDescent="0.25">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x14ac:dyDescent="0.25">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x14ac:dyDescent="0.25">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x14ac:dyDescent="0.25">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x14ac:dyDescent="0.25">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x14ac:dyDescent="0.25">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x14ac:dyDescent="0.25">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x14ac:dyDescent="0.25">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x14ac:dyDescent="0.25">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x14ac:dyDescent="0.25">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x14ac:dyDescent="0.25">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x14ac:dyDescent="0.25">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x14ac:dyDescent="0.25">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x14ac:dyDescent="0.25">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x14ac:dyDescent="0.25">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x14ac:dyDescent="0.25">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x14ac:dyDescent="0.25">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x14ac:dyDescent="0.25">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x14ac:dyDescent="0.25">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x14ac:dyDescent="0.25">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x14ac:dyDescent="0.25">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x14ac:dyDescent="0.25">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x14ac:dyDescent="0.25">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x14ac:dyDescent="0.25">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x14ac:dyDescent="0.25">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x14ac:dyDescent="0.25">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x14ac:dyDescent="0.25">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x14ac:dyDescent="0.25">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x14ac:dyDescent="0.25">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x14ac:dyDescent="0.25">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x14ac:dyDescent="0.25">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x14ac:dyDescent="0.25">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x14ac:dyDescent="0.25">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x14ac:dyDescent="0.25">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x14ac:dyDescent="0.25">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x14ac:dyDescent="0.25">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x14ac:dyDescent="0.25">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x14ac:dyDescent="0.25">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x14ac:dyDescent="0.25">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x14ac:dyDescent="0.25">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x14ac:dyDescent="0.25">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x14ac:dyDescent="0.25">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x14ac:dyDescent="0.25">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x14ac:dyDescent="0.25">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x14ac:dyDescent="0.25">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x14ac:dyDescent="0.25">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x14ac:dyDescent="0.25">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x14ac:dyDescent="0.25">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x14ac:dyDescent="0.25">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x14ac:dyDescent="0.25">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x14ac:dyDescent="0.25">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x14ac:dyDescent="0.25">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x14ac:dyDescent="0.25">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x14ac:dyDescent="0.25">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x14ac:dyDescent="0.25">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x14ac:dyDescent="0.25">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x14ac:dyDescent="0.25">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x14ac:dyDescent="0.25">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x14ac:dyDescent="0.25">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x14ac:dyDescent="0.25">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x14ac:dyDescent="0.25">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x14ac:dyDescent="0.25">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x14ac:dyDescent="0.25">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x14ac:dyDescent="0.25">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x14ac:dyDescent="0.25">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x14ac:dyDescent="0.25">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x14ac:dyDescent="0.25">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x14ac:dyDescent="0.25">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x14ac:dyDescent="0.25">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x14ac:dyDescent="0.25">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x14ac:dyDescent="0.25">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x14ac:dyDescent="0.25">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x14ac:dyDescent="0.25">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x14ac:dyDescent="0.25">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x14ac:dyDescent="0.25">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x14ac:dyDescent="0.25">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x14ac:dyDescent="0.25">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x14ac:dyDescent="0.25">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x14ac:dyDescent="0.25">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x14ac:dyDescent="0.25">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x14ac:dyDescent="0.25">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x14ac:dyDescent="0.25">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x14ac:dyDescent="0.25">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x14ac:dyDescent="0.25">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x14ac:dyDescent="0.25">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x14ac:dyDescent="0.25">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x14ac:dyDescent="0.25">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x14ac:dyDescent="0.25">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x14ac:dyDescent="0.25">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x14ac:dyDescent="0.25">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x14ac:dyDescent="0.25">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x14ac:dyDescent="0.25">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x14ac:dyDescent="0.25">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x14ac:dyDescent="0.25">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x14ac:dyDescent="0.25">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x14ac:dyDescent="0.25">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x14ac:dyDescent="0.25">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x14ac:dyDescent="0.25">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x14ac:dyDescent="0.25">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x14ac:dyDescent="0.25">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x14ac:dyDescent="0.25">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x14ac:dyDescent="0.25">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x14ac:dyDescent="0.25">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x14ac:dyDescent="0.25">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x14ac:dyDescent="0.25">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x14ac:dyDescent="0.25">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x14ac:dyDescent="0.25">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x14ac:dyDescent="0.25">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x14ac:dyDescent="0.25">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x14ac:dyDescent="0.25">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x14ac:dyDescent="0.25">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x14ac:dyDescent="0.25">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x14ac:dyDescent="0.25">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x14ac:dyDescent="0.25">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x14ac:dyDescent="0.25">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x14ac:dyDescent="0.25">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x14ac:dyDescent="0.25">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x14ac:dyDescent="0.25">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x14ac:dyDescent="0.25">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x14ac:dyDescent="0.25">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x14ac:dyDescent="0.25">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x14ac:dyDescent="0.25">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x14ac:dyDescent="0.25">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x14ac:dyDescent="0.25">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x14ac:dyDescent="0.25">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x14ac:dyDescent="0.25">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x14ac:dyDescent="0.25">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x14ac:dyDescent="0.25">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x14ac:dyDescent="0.25">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x14ac:dyDescent="0.25">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x14ac:dyDescent="0.25">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x14ac:dyDescent="0.25">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x14ac:dyDescent="0.25">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x14ac:dyDescent="0.25">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x14ac:dyDescent="0.25">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x14ac:dyDescent="0.25">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x14ac:dyDescent="0.25">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x14ac:dyDescent="0.25">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x14ac:dyDescent="0.25">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x14ac:dyDescent="0.25">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x14ac:dyDescent="0.25">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x14ac:dyDescent="0.25">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x14ac:dyDescent="0.25">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x14ac:dyDescent="0.25">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x14ac:dyDescent="0.25">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x14ac:dyDescent="0.25">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x14ac:dyDescent="0.25">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x14ac:dyDescent="0.25">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x14ac:dyDescent="0.25">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x14ac:dyDescent="0.25">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x14ac:dyDescent="0.25">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x14ac:dyDescent="0.25">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x14ac:dyDescent="0.25">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x14ac:dyDescent="0.25">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4.4" thickBot="1" x14ac:dyDescent="0.3">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4.4" thickBot="1" x14ac:dyDescent="0.3">
      <c r="F259" s="822" t="s">
        <v>329</v>
      </c>
      <c r="G259" s="739" t="s">
        <v>365</v>
      </c>
      <c r="H259" s="414">
        <f>IF('Detailed Results'!K40&gt;0,"Error ▲", SUM(H11:H258))</f>
        <v>0</v>
      </c>
      <c r="N259" s="102"/>
      <c r="P259" s="132" t="s">
        <v>366</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4.4" thickBot="1" x14ac:dyDescent="0.3">
      <c r="U260" s="133"/>
      <c r="V260" s="133"/>
      <c r="W260" s="133"/>
      <c r="X260" s="133"/>
      <c r="Y260" s="133"/>
      <c r="Z260" s="133"/>
      <c r="AA260" s="133"/>
      <c r="AY260" s="133"/>
    </row>
    <row r="261" spans="1:51" ht="28.5" customHeight="1" thickBot="1" x14ac:dyDescent="0.3">
      <c r="D261" s="102"/>
      <c r="E261" s="102"/>
      <c r="F261" s="511" t="s">
        <v>305</v>
      </c>
      <c r="H261" s="381">
        <f>IF('Detailed Results'!$K$40&gt;0,"Error",SUMIFS($H$11:$H$256,$G$11:$G$256,"&lt;&gt;"&amp;'G-1 All Habitats'!B80,$G$11:$G$256,"&lt;&gt;"&amp;'G-1 All Habitats'!B81,$G$11:$G$256,"&lt;&gt;"&amp;'G-1 All Habitats'!B67,$G$11:$G$256,"&lt;&gt;"&amp;'G-1 All Habitats'!B68))</f>
        <v>0</v>
      </c>
      <c r="V261" s="1411" t="s">
        <v>367</v>
      </c>
      <c r="W261" s="1412"/>
      <c r="X261" s="1412"/>
      <c r="Y261" s="1413"/>
      <c r="Z261" s="366">
        <f>IF('Detailed Results'!$K$40&gt;0,"Error",SUMIFS($Z$11:$Z$258,$G$11:$G$258,"&lt;&gt;"&amp;'G-1 All Habitats'!B67,$G$11:$G$258,"&lt;&gt;"&amp;'G-1 All Habitats'!B68,$G$11:$G$258,"&lt;&gt;"&amp;'G-1 All Habitats'!B80, $G$11:$G$258,"&lt;&gt;"&amp;'G-1 All Habitats'!B81))</f>
        <v>0</v>
      </c>
      <c r="AY261" s="30"/>
    </row>
    <row r="262" spans="1:51" ht="14.4" thickBot="1" x14ac:dyDescent="0.3">
      <c r="D262" s="102"/>
      <c r="E262" s="102"/>
      <c r="F262" s="102"/>
    </row>
    <row r="263" spans="1:51" x14ac:dyDescent="0.25">
      <c r="D263" s="102"/>
      <c r="E263" s="102"/>
      <c r="F263" s="1447" t="s">
        <v>307</v>
      </c>
      <c r="G263" s="36"/>
      <c r="H263" s="730" t="s">
        <v>308</v>
      </c>
      <c r="I263" s="551" t="s">
        <v>309</v>
      </c>
      <c r="J263" s="1406" t="s">
        <v>310</v>
      </c>
      <c r="K263" s="1407"/>
    </row>
    <row r="264" spans="1:51" ht="14.4" thickBot="1" x14ac:dyDescent="0.3">
      <c r="D264" s="102"/>
      <c r="E264" s="102"/>
      <c r="F264" s="1448"/>
      <c r="G264" s="36"/>
      <c r="H264" s="736"/>
      <c r="I264" s="552" t="str">
        <f>IF(H263="Hectares",H264,IF(H263="M²",H264/10000,""))</f>
        <v/>
      </c>
      <c r="J264" s="1408" t="str">
        <f>IF(H263="M²",H264,IF(H263="Hectares",H264*10000,""))</f>
        <v/>
      </c>
      <c r="K264" s="1409"/>
    </row>
    <row r="265" spans="1:51" x14ac:dyDescent="0.25">
      <c r="D265" s="102"/>
      <c r="E265" s="102"/>
      <c r="F265" s="102"/>
    </row>
    <row r="266" spans="1:51" x14ac:dyDescent="0.25">
      <c r="D266" s="102"/>
      <c r="E266" s="102"/>
      <c r="F266" s="102"/>
    </row>
    <row r="267" spans="1:51" x14ac:dyDescent="0.25">
      <c r="D267" s="102"/>
      <c r="E267" s="102"/>
      <c r="F267" s="102"/>
    </row>
    <row r="268" spans="1:51" x14ac:dyDescent="0.25">
      <c r="D268" s="102"/>
      <c r="E268" s="102"/>
      <c r="F268" s="102"/>
    </row>
    <row r="269" spans="1:51" x14ac:dyDescent="0.25">
      <c r="D269" s="102"/>
      <c r="E269" s="102"/>
      <c r="F269" s="102"/>
    </row>
    <row r="270" spans="1:51" x14ac:dyDescent="0.25">
      <c r="D270" s="102"/>
      <c r="E270" s="102"/>
      <c r="F270" s="102"/>
    </row>
    <row r="271" spans="1:51" x14ac:dyDescent="0.25">
      <c r="D271" s="102"/>
      <c r="E271" s="102"/>
      <c r="F271" s="102"/>
    </row>
  </sheetData>
  <sheetProtection algorithmName="SHA-512" hashValue="PKQUw3LEIhQWiZxQu5dQvalHzmEHYXWBdwSlmcKpewN4GHVLu5ZtwZhqAUusUMWGiqJOFXnJPpgbVyYN2prC1Q==" saltValue="7AFQ+TVoebDTcpl+3czldw=="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D3:F4"/>
    <mergeCell ref="O2:Y5"/>
    <mergeCell ref="D2:F2"/>
    <mergeCell ref="I2:M2"/>
    <mergeCell ref="I3:L3"/>
    <mergeCell ref="I4:L4"/>
    <mergeCell ref="I5:L5"/>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s>
  <conditionalFormatting sqref="L11:L258">
    <cfRule type="containsText" dxfId="635" priority="127" operator="containsText" text="Not Possible">
      <formula>NOT(ISERROR(SEARCH("Not Possible",L11)))</formula>
    </cfRule>
  </conditionalFormatting>
  <conditionalFormatting sqref="N11:O258">
    <cfRule type="containsText" dxfId="634" priority="79" operator="containsText" text="Spatial">
      <formula>NOT(ISERROR(SEARCH("Spatial",N11)))</formula>
    </cfRule>
  </conditionalFormatting>
  <conditionalFormatting sqref="Z11:Z258">
    <cfRule type="cellIs" dxfId="633" priority="66" operator="equal">
      <formula>"Error in Areas ▲"</formula>
    </cfRule>
    <cfRule type="cellIs" dxfId="632" priority="74" operator="equal">
      <formula>"Unacceptable Loss ⚠"</formula>
    </cfRule>
  </conditionalFormatting>
  <conditionalFormatting sqref="Q11:Q258">
    <cfRule type="cellIs" dxfId="631" priority="71" operator="equal">
      <formula>"Any loss Unacceptable ⚠"</formula>
    </cfRule>
  </conditionalFormatting>
  <conditionalFormatting sqref="Q11:Q258">
    <cfRule type="expression" dxfId="630" priority="73">
      <formula>"p18=""Avoid"""</formula>
    </cfRule>
  </conditionalFormatting>
  <conditionalFormatting sqref="Q11:Q258">
    <cfRule type="cellIs" dxfId="629" priority="72" operator="equal">
      <formula>"Any loss Unacceptable ⚠"</formula>
    </cfRule>
  </conditionalFormatting>
  <conditionalFormatting sqref="Q11:Q258">
    <cfRule type="cellIs" dxfId="628" priority="68" operator="equal">
      <formula>"Any loss Unacceptable ⚠"</formula>
    </cfRule>
  </conditionalFormatting>
  <conditionalFormatting sqref="Q11:Q258">
    <cfRule type="expression" dxfId="627" priority="70">
      <formula>"p18=""Avoid"""</formula>
    </cfRule>
  </conditionalFormatting>
  <conditionalFormatting sqref="Q11:Q258">
    <cfRule type="cellIs" dxfId="626" priority="69" operator="equal">
      <formula>"Any loss Unacceptable ⚠"</formula>
    </cfRule>
  </conditionalFormatting>
  <conditionalFormatting sqref="Q11:Q258">
    <cfRule type="cellIs" dxfId="625" priority="67" operator="equal">
      <formula>"Check Data ⚠"</formula>
    </cfRule>
  </conditionalFormatting>
  <conditionalFormatting sqref="AB11:AB258">
    <cfRule type="cellIs" dxfId="624" priority="75" operator="equal">
      <formula>"No"</formula>
    </cfRule>
    <cfRule type="cellIs" dxfId="623" priority="76" operator="equal">
      <formula>"Yes"</formula>
    </cfRule>
  </conditionalFormatting>
  <conditionalFormatting sqref="AA11:AA258">
    <cfRule type="cellIs" dxfId="622" priority="63" operator="equal">
      <formula>"Alternative Compensation ✓"</formula>
    </cfRule>
    <cfRule type="cellIs" dxfId="621" priority="64" operator="equal">
      <formula>"Error in Areas ▲"</formula>
    </cfRule>
  </conditionalFormatting>
  <conditionalFormatting sqref="AA11:AA258">
    <cfRule type="containsText" dxfId="620" priority="65" operator="containsText" text="Unacceptable">
      <formula>NOT(ISERROR(SEARCH("Unacceptable",AA11)))</formula>
    </cfRule>
  </conditionalFormatting>
  <conditionalFormatting sqref="H259">
    <cfRule type="cellIs" dxfId="619" priority="48" operator="equal">
      <formula>"Error ▲"</formula>
    </cfRule>
  </conditionalFormatting>
  <conditionalFormatting sqref="Q259 S259">
    <cfRule type="cellIs" dxfId="618" priority="47" operator="equal">
      <formula>"Error ▲"</formula>
    </cfRule>
  </conditionalFormatting>
  <conditionalFormatting sqref="V259:AA259">
    <cfRule type="cellIs" dxfId="617" priority="46" operator="equal">
      <formula>"Error ▲"</formula>
    </cfRule>
  </conditionalFormatting>
  <conditionalFormatting sqref="M5">
    <cfRule type="containsText" dxfId="616" priority="44" operator="containsText" text="No">
      <formula>NOT(ISERROR(SEARCH("No",M5)))</formula>
    </cfRule>
    <cfRule type="containsText" dxfId="615" priority="45" operator="containsText" text="Yes">
      <formula>NOT(ISERROR(SEARCH("Yes",M5)))</formula>
    </cfRule>
  </conditionalFormatting>
  <conditionalFormatting sqref="M4">
    <cfRule type="containsText" dxfId="614" priority="5" operator="containsText" text="Error">
      <formula>NOT(ISERROR(SEARCH("Error",M4)))</formula>
    </cfRule>
    <cfRule type="containsText" dxfId="613" priority="6" operator="containsText" text="Check">
      <formula>NOT(ISERROR(SEARCH("Check",M4)))</formula>
    </cfRule>
    <cfRule type="cellIs" dxfId="612" priority="7" operator="equal">
      <formula>0</formula>
    </cfRule>
    <cfRule type="cellIs" dxfId="611" priority="8" operator="lessThan">
      <formula>0</formula>
    </cfRule>
  </conditionalFormatting>
  <conditionalFormatting sqref="M3">
    <cfRule type="containsText" dxfId="610" priority="40" operator="containsText" text="Error">
      <formula>NOT(ISERROR(SEARCH("Error",M3)))</formula>
    </cfRule>
    <cfRule type="containsText" dxfId="609" priority="41" operator="containsText" text="Check">
      <formula>NOT(ISERROR(SEARCH("Check",M3)))</formula>
    </cfRule>
  </conditionalFormatting>
  <conditionalFormatting sqref="O2:Y5">
    <cfRule type="containsText" dxfId="608" priority="39" operator="containsText" text="Check">
      <formula>NOT(ISERROR(SEARCH("Check",O2)))</formula>
    </cfRule>
  </conditionalFormatting>
  <conditionalFormatting sqref="R11:R258">
    <cfRule type="containsText" dxfId="607" priority="37" operator="containsText" text="Existing Value Not Required">
      <formula>NOT(ISERROR(SEARCH("Existing Value Not Required",R11)))</formula>
    </cfRule>
    <cfRule type="containsText" dxfId="606" priority="38" operator="containsText" text="Existing Value Required">
      <formula>NOT(ISERROR(SEARCH("Existing Value Required",R11)))</formula>
    </cfRule>
  </conditionalFormatting>
  <conditionalFormatting sqref="R11:S11 S12:S256 R12:R258">
    <cfRule type="containsText" dxfId="605" priority="33" operator="containsText" text="Check">
      <formula>NOT(ISERROR(SEARCH("Check",R11)))</formula>
    </cfRule>
    <cfRule type="containsText" dxfId="604" priority="34" operator="containsText" text="Error">
      <formula>NOT(ISERROR(SEARCH("Error",R11)))</formula>
    </cfRule>
  </conditionalFormatting>
  <conditionalFormatting sqref="S11:S256">
    <cfRule type="containsText" dxfId="603" priority="32" operator="containsText" text="Spatial">
      <formula>NOT(ISERROR(SEARCH("Spatial",S11)))</formula>
    </cfRule>
  </conditionalFormatting>
  <conditionalFormatting sqref="T11:T258">
    <cfRule type="cellIs" dxfId="602" priority="29" operator="equal">
      <formula>"Any loss Unacceptable ⚠"</formula>
    </cfRule>
  </conditionalFormatting>
  <conditionalFormatting sqref="T11:T258">
    <cfRule type="expression" dxfId="601" priority="31">
      <formula>"p18=""Avoid"""</formula>
    </cfRule>
  </conditionalFormatting>
  <conditionalFormatting sqref="T11:T258">
    <cfRule type="cellIs" dxfId="600" priority="30" operator="equal">
      <formula>"Any loss Unacceptable ⚠"</formula>
    </cfRule>
  </conditionalFormatting>
  <conditionalFormatting sqref="T11:T258">
    <cfRule type="cellIs" dxfId="599" priority="26" operator="equal">
      <formula>"Any loss Unacceptable ⚠"</formula>
    </cfRule>
  </conditionalFormatting>
  <conditionalFormatting sqref="T11:T258">
    <cfRule type="expression" dxfId="598" priority="28">
      <formula>"p18=""Avoid"""</formula>
    </cfRule>
  </conditionalFormatting>
  <conditionalFormatting sqref="T11:T258">
    <cfRule type="cellIs" dxfId="597" priority="27" operator="equal">
      <formula>"Any loss Unacceptable ⚠"</formula>
    </cfRule>
  </conditionalFormatting>
  <conditionalFormatting sqref="T11:T258">
    <cfRule type="cellIs" dxfId="596" priority="25" operator="equal">
      <formula>"Check Data ⚠"</formula>
    </cfRule>
  </conditionalFormatting>
  <conditionalFormatting sqref="T259">
    <cfRule type="cellIs" dxfId="595" priority="24" operator="equal">
      <formula>"Error ▲"</formula>
    </cfRule>
  </conditionalFormatting>
  <conditionalFormatting sqref="S257">
    <cfRule type="containsText" dxfId="594" priority="14" operator="containsText" text="Check">
      <formula>NOT(ISERROR(SEARCH("Check",S257)))</formula>
    </cfRule>
    <cfRule type="containsText" dxfId="593" priority="15" operator="containsText" text="Error">
      <formula>NOT(ISERROR(SEARCH("Error",S257)))</formula>
    </cfRule>
  </conditionalFormatting>
  <conditionalFormatting sqref="S257">
    <cfRule type="containsText" dxfId="592" priority="13" operator="containsText" text="Spatial">
      <formula>NOT(ISERROR(SEARCH("Spatial",S257)))</formula>
    </cfRule>
  </conditionalFormatting>
  <conditionalFormatting sqref="S258">
    <cfRule type="containsText" dxfId="591" priority="11" operator="containsText" text="Check">
      <formula>NOT(ISERROR(SEARCH("Check",S258)))</formula>
    </cfRule>
    <cfRule type="containsText" dxfId="590" priority="12" operator="containsText" text="Error">
      <formula>NOT(ISERROR(SEARCH("Error",S258)))</formula>
    </cfRule>
  </conditionalFormatting>
  <conditionalFormatting sqref="S258">
    <cfRule type="containsText" dxfId="589" priority="10" operator="containsText" text="Spatial">
      <formula>NOT(ISERROR(SEARCH("Spatial",S258)))</formula>
    </cfRule>
  </conditionalFormatting>
  <conditionalFormatting sqref="I6:M8">
    <cfRule type="containsText" dxfId="588" priority="9" operator="containsText" text="⚠">
      <formula>NOT(ISERROR(SEARCH("⚠",I6)))</formula>
    </cfRule>
  </conditionalFormatting>
  <conditionalFormatting sqref="AA11:AA258">
    <cfRule type="containsText" dxfId="587" priority="4" operator="containsText" text="⚠">
      <formula>NOT(ISERROR(SEARCH("⚠",AA11)))</formula>
    </cfRule>
  </conditionalFormatting>
  <conditionalFormatting sqref="AY259">
    <cfRule type="cellIs" dxfId="586" priority="3" operator="equal">
      <formula>"Error ▲"</formula>
    </cfRule>
  </conditionalFormatting>
  <conditionalFormatting sqref="AY2:AY5">
    <cfRule type="containsText" dxfId="585" priority="2" operator="containsText" text="Check">
      <formula>NOT(ISERROR(SEARCH("Check",AY2)))</formula>
    </cfRule>
  </conditionalFormatting>
  <conditionalFormatting sqref="M3:M5">
    <cfRule type="containsText" dxfId="584" priority="1" operator="containsText" text="N/A">
      <formula>NOT(ISERROR(SEARCH("N/A",M3)))</formula>
    </cfRule>
  </conditionalFormatting>
  <dataValidations count="4">
    <dataValidation allowBlank="1" showErrorMessage="1" errorTitle="Invalid Habitat" error="Select from List" sqref="G11:G258" xr:uid="{00000000-0002-0000-0A00-000000000000}"/>
    <dataValidation type="list" allowBlank="1" showInputMessage="1" showErrorMessage="1" sqref="F11:F258" xr:uid="{00000000-0002-0000-0A00-000001000000}">
      <formula1>INDIRECT(A11)</formula1>
    </dataValidation>
    <dataValidation type="list" allowBlank="1" showInputMessage="1" showErrorMessage="1" sqref="K11:K258" xr:uid="{00000000-0002-0000-0A00-000002000000}">
      <formula1>INDIRECT(B11)</formula1>
    </dataValidation>
    <dataValidation type="list" allowBlank="1" showInputMessage="1" showErrorMessage="1" sqref="H263" xr:uid="{A73459A6-BB2C-4AA0-B3A7-B5883D39E5F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9" operator="equal" id="{4F50D605-E638-4A00-95DA-25AAC11AC10A}">
            <xm:f>'G-1 All Habitats'!$X$6</xm:f>
            <x14:dxf>
              <font>
                <color rgb="FF383745"/>
              </font>
              <fill>
                <patternFill>
                  <bgColor theme="8" tint="0.59996337778862885"/>
                </patternFill>
              </fill>
            </x14:dxf>
          </x14:cfRule>
          <x14:cfRule type="cellIs" priority="176" operator="equal" id="{94CF483F-3A53-4751-BC79-DEF0528327DD}">
            <xm:f>'G-1 All Habitats'!$X$5</xm:f>
            <x14:dxf>
              <font>
                <color rgb="FF383745"/>
              </font>
              <fill>
                <patternFill>
                  <bgColor theme="8" tint="-0.24994659260841701"/>
                </patternFill>
              </fill>
            </x14:dxf>
          </x14:cfRule>
          <x14:cfRule type="cellIs" priority="177" operator="equal" id="{B81E5FD8-88ED-479F-9E97-AEE295FEDC63}">
            <xm:f>'G-1 All Habitats'!$X$4</xm:f>
            <x14:dxf>
              <font>
                <color rgb="FF383745"/>
              </font>
              <fill>
                <patternFill>
                  <bgColor theme="6"/>
                </patternFill>
              </fill>
            </x14:dxf>
          </x14:cfRule>
          <x14:cfRule type="cellIs" priority="178"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30" operator="lessThan" id="{C9331F0E-1C51-4161-85A4-3D4B30E59263}">
            <xm:f>Start!$F$22</xm:f>
            <x14:dxf>
              <font>
                <color rgb="FF383745"/>
              </font>
              <fill>
                <patternFill>
                  <bgColor rgb="FFFFC000"/>
                </patternFill>
              </fill>
            </x14:dxf>
          </x14:cfRule>
          <x14:cfRule type="cellIs" priority="431"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3000000}">
          <x14:formula1>
            <xm:f>'G-3 Multipliers'!$L$4:$L$6</xm:f>
          </x14:formula1>
          <xm:sqref>M11:M258</xm:sqref>
        </x14:dataValidation>
        <x14:dataValidation type="list" allowBlank="1" showInputMessage="1" showErrorMessage="1" xr:uid="{00000000-0002-0000-0A00-000004000000}">
          <x14:formula1>
            <xm:f>'G-1 All Habitats'!$AD$3:$AD$4</xm:f>
          </x14:formula1>
          <xm:sqref>AB11:AB258</xm:sqref>
        </x14:dataValidation>
        <x14:dataValidation type="list" allowBlank="1" showInputMessage="1" showErrorMessage="1" xr:uid="{6903B9C4-1349-4FE0-91F8-04651F4A5240}">
          <x14:formula1>
            <xm:f>'G-1 All Habitats'!$AF$3:$AF$17</xm:f>
          </x14:formula1>
          <xm:sqref>E11:E258</xm:sqref>
        </x14:dataValidation>
        <x14:dataValidation type="list" allowBlank="1" showInputMessage="1" showErrorMessage="1" xr:uid="{932F185A-3F30-4155-A5A7-3FA7C3D87041}">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rgb="FF006600"/>
  </sheetPr>
  <dimension ref="A1:AJ270"/>
  <sheetViews>
    <sheetView showGridLines="0" topLeftCell="D1" zoomScale="80" zoomScaleNormal="80" workbookViewId="0">
      <pane ySplit="10" topLeftCell="A11" activePane="bottomLeft" state="frozen"/>
      <selection pane="bottomLeft" activeCell="L3" sqref="L3:L6"/>
    </sheetView>
  </sheetViews>
  <sheetFormatPr defaultColWidth="8.77734375" defaultRowHeight="0" customHeight="1" zeroHeight="1" x14ac:dyDescent="0.25"/>
  <cols>
    <col min="1" max="1" width="8.77734375" style="30" hidden="1" customWidth="1"/>
    <col min="2" max="2" width="10.44140625" style="30" hidden="1" customWidth="1"/>
    <col min="3" max="3" width="19.77734375" style="30" hidden="1" customWidth="1"/>
    <col min="4" max="4" width="22.5546875" style="30" bestFit="1" customWidth="1"/>
    <col min="5" max="5" width="71" style="30" customWidth="1"/>
    <col min="6" max="6" width="12.44140625" style="30" hidden="1" customWidth="1"/>
    <col min="7" max="7" width="18.5546875" style="30" customWidth="1"/>
    <col min="8" max="8" width="18" style="30" customWidth="1"/>
    <col min="9" max="9" width="13.21875" style="30" customWidth="1"/>
    <col min="10" max="11" width="12.5546875" style="30" customWidth="1"/>
    <col min="12" max="12" width="40.77734375" style="30" customWidth="1"/>
    <col min="13" max="13" width="6.77734375" style="30" hidden="1" customWidth="1"/>
    <col min="14" max="14" width="12.21875" style="30" customWidth="1"/>
    <col min="15" max="15" width="19.5546875" style="30" customWidth="1"/>
    <col min="16" max="17" width="17.77734375" style="30" customWidth="1"/>
    <col min="18" max="18" width="31.21875" style="30" customWidth="1"/>
    <col min="19" max="19" width="21.21875" style="30" customWidth="1"/>
    <col min="20" max="20" width="15.21875" style="30" customWidth="1"/>
    <col min="21" max="21" width="13.77734375" style="30" customWidth="1"/>
    <col min="22" max="22" width="35.21875" style="30" customWidth="1"/>
    <col min="23" max="23" width="13.77734375" style="30" customWidth="1"/>
    <col min="24" max="24" width="14.21875" style="30" customWidth="1"/>
    <col min="25" max="25" width="91.44140625" style="30" customWidth="1"/>
    <col min="26" max="26" width="11.44140625" style="30" hidden="1" customWidth="1"/>
    <col min="27" max="27" width="16.77734375" style="30" hidden="1" customWidth="1"/>
    <col min="28" max="28" width="12.77734375" style="30" customWidth="1"/>
    <col min="29" max="30" width="34.77734375" style="30" customWidth="1"/>
    <col min="31" max="31" width="14.21875" style="30" customWidth="1"/>
    <col min="32" max="32" width="16.77734375" style="30" customWidth="1"/>
    <col min="33" max="33" width="11.21875" style="30" customWidth="1"/>
    <col min="34" max="34" width="14.5546875" style="30" hidden="1" customWidth="1"/>
    <col min="35" max="36" width="8.77734375" style="30" hidden="1" customWidth="1"/>
    <col min="37" max="39" width="0" style="30" hidden="1" customWidth="1"/>
    <col min="40" max="42" width="8.77734375" style="30"/>
    <col min="43" max="43" width="8.77734375" style="30" customWidth="1"/>
    <col min="44" max="16384" width="8.77734375" style="30"/>
  </cols>
  <sheetData>
    <row r="1" spans="1:32" ht="14.4" thickBot="1" x14ac:dyDescent="0.3"/>
    <row r="2" spans="1:32" ht="25.95" customHeight="1" thickBot="1" x14ac:dyDescent="0.35">
      <c r="D2" s="1528" t="str">
        <f>CONCATENATE("Project Name:", " ", Start!F12, "     ", "Map Reference:", " ", Start!K66)</f>
        <v xml:space="preserve">Project Name: Grove Farm Solar     Map Reference: </v>
      </c>
      <c r="E2" s="1529"/>
      <c r="G2" s="895">
        <v>0.01</v>
      </c>
      <c r="H2" s="1539" t="s">
        <v>262</v>
      </c>
      <c r="I2" s="1540"/>
      <c r="J2" s="1540"/>
      <c r="K2" s="1540"/>
      <c r="L2" s="1541"/>
      <c r="O2" s="1484" t="str">
        <f>IF(OR(COUNTIF($O$11:O256,"*30+*")&gt;0,COUNTIF($S$11:S256,"*30+*")&gt;0),"Note; Habitat selected has a time to target condition greater than 30 years. Non standard agreement may be required. ⚠","")</f>
        <v/>
      </c>
      <c r="P2" s="1484"/>
      <c r="Q2" s="1484"/>
      <c r="R2" s="1484"/>
      <c r="S2" s="1484"/>
      <c r="T2" s="1484"/>
      <c r="U2" s="1527" t="str" cm="1">
        <f t="array" ref="U2">IF(OR(J11:J256 = "Fairly Good", J11:J256 = "Fairly Poor"),"A 'Fairly' Category has been used - check evidence to ensure this is appropriate ⚠", "")</f>
        <v/>
      </c>
      <c r="V2" s="1527"/>
      <c r="W2" s="1527"/>
      <c r="X2" s="1527"/>
      <c r="Y2" s="1527"/>
    </row>
    <row r="3" spans="1:32" ht="19.95" customHeight="1" x14ac:dyDescent="0.25">
      <c r="D3" s="1521" t="str">
        <f ca="1">MID(CELL("filename",C1),FIND("]",CELL("filename",C1))+1,256)</f>
        <v>D-2 Off-Site Habitat Creation</v>
      </c>
      <c r="E3" s="1522"/>
      <c r="G3" s="197"/>
      <c r="H3" s="1486" t="s">
        <v>263</v>
      </c>
      <c r="I3" s="1503"/>
      <c r="J3" s="1503"/>
      <c r="K3" s="1531"/>
      <c r="L3" s="512">
        <f>'Headline Results'!H47</f>
        <v>97.897490402123225</v>
      </c>
      <c r="M3" s="35"/>
      <c r="N3" s="35"/>
      <c r="O3" s="1484"/>
      <c r="P3" s="1484"/>
      <c r="Q3" s="1484"/>
      <c r="R3" s="1484"/>
      <c r="S3" s="1484"/>
      <c r="T3" s="1484"/>
      <c r="U3" s="1527"/>
      <c r="V3" s="1527"/>
      <c r="W3" s="1527"/>
      <c r="X3" s="1527"/>
      <c r="Y3" s="1527"/>
    </row>
    <row r="4" spans="1:32" ht="15.75" customHeight="1" thickBot="1" x14ac:dyDescent="0.3">
      <c r="D4" s="1524"/>
      <c r="E4" s="1525"/>
      <c r="G4" s="197"/>
      <c r="H4" s="1532" t="s">
        <v>265</v>
      </c>
      <c r="I4" s="1533"/>
      <c r="J4" s="1533"/>
      <c r="K4" s="1534"/>
      <c r="L4" s="513">
        <f>'Headline Results'!H51</f>
        <v>1.012467323068333</v>
      </c>
      <c r="M4" s="41"/>
      <c r="N4" s="35"/>
      <c r="O4" s="310"/>
      <c r="P4" s="310"/>
      <c r="Q4" s="310"/>
      <c r="R4" s="310"/>
      <c r="S4" s="310"/>
      <c r="U4" s="1527"/>
      <c r="V4" s="1527"/>
      <c r="W4" s="1527"/>
      <c r="X4" s="1527"/>
      <c r="Y4" s="1527"/>
    </row>
    <row r="5" spans="1:32" ht="29.55" customHeight="1" x14ac:dyDescent="0.3">
      <c r="H5" s="1532" t="s">
        <v>267</v>
      </c>
      <c r="I5" s="1533"/>
      <c r="J5" s="1533"/>
      <c r="K5" s="1534"/>
      <c r="L5" s="514" t="str" cm="1">
        <f t="array" ref="L5">IF(OR('Trading Summary Area Habitats'!G5:G8="No ▲"), "No - check trading summaries ▲", "Yes ✓")</f>
        <v>Yes ✓</v>
      </c>
      <c r="M5" s="199"/>
      <c r="N5" s="190"/>
      <c r="O5" s="1504"/>
      <c r="P5" s="1504"/>
      <c r="Q5" s="1504"/>
      <c r="R5" s="1504"/>
      <c r="S5" s="1504"/>
      <c r="T5" s="1504"/>
      <c r="U5" s="1527"/>
      <c r="V5" s="1527"/>
      <c r="W5" s="1527"/>
      <c r="X5" s="1527"/>
      <c r="Y5" s="1527"/>
    </row>
    <row r="6" spans="1:32" ht="44.1" customHeight="1" thickBot="1" x14ac:dyDescent="0.3">
      <c r="H6" s="1464" t="s">
        <v>1675</v>
      </c>
      <c r="I6" s="1465"/>
      <c r="J6" s="1465"/>
      <c r="K6" s="1466"/>
      <c r="L6" s="48" t="str">
        <f>IF(ABS('D-1 Off-Site Habitat Baseline'!Z261 - G259)&lt;=G2,  "Area Acceptable 🗸", "Error - Area created does not equal area lost ▲")</f>
        <v>Area Acceptable 🗸</v>
      </c>
      <c r="M6" s="509"/>
      <c r="N6" s="509"/>
      <c r="O6" s="1504"/>
      <c r="P6" s="1504"/>
      <c r="Q6" s="1504"/>
      <c r="R6" s="1504"/>
      <c r="S6" s="1504"/>
      <c r="T6" s="1504"/>
      <c r="U6" s="1543" t="str" cm="1">
        <f t="array" ref="U6">IF(OR(E11:E258="watercourse footprint"),"Please ensure the watercourse details for any watercourse footprints recorded are included in the watercourse tabs ⚠", "")</f>
        <v/>
      </c>
      <c r="V6" s="1543"/>
      <c r="W6" s="1543"/>
      <c r="X6" s="1543"/>
    </row>
    <row r="7" spans="1:32" ht="14.4" thickBot="1" x14ac:dyDescent="0.3"/>
    <row r="8" spans="1:32" ht="26.55" customHeight="1" thickBot="1" x14ac:dyDescent="0.3">
      <c r="D8" s="1548" t="s">
        <v>311</v>
      </c>
      <c r="E8" s="1549"/>
      <c r="F8" s="1549"/>
      <c r="G8" s="1549"/>
      <c r="H8" s="1549"/>
      <c r="I8" s="1549"/>
      <c r="J8" s="1549"/>
      <c r="K8" s="1549"/>
      <c r="L8" s="1549"/>
      <c r="M8" s="1549"/>
      <c r="N8" s="1549"/>
      <c r="O8" s="1549"/>
      <c r="P8" s="1549"/>
      <c r="Q8" s="1549"/>
      <c r="R8" s="1549"/>
      <c r="S8" s="1549"/>
      <c r="T8" s="1549"/>
      <c r="U8" s="1549"/>
      <c r="V8" s="1549"/>
      <c r="W8" s="1549"/>
      <c r="X8" s="1550"/>
    </row>
    <row r="9" spans="1:32" s="33" customFormat="1" ht="27.6" customHeight="1" thickBot="1" x14ac:dyDescent="0.3">
      <c r="B9" s="30"/>
      <c r="C9" s="30"/>
      <c r="D9" s="1310" t="s">
        <v>282</v>
      </c>
      <c r="E9" s="1312" t="s">
        <v>313</v>
      </c>
      <c r="F9" s="1312" t="s">
        <v>313</v>
      </c>
      <c r="G9" s="1545" t="s">
        <v>285</v>
      </c>
      <c r="H9" s="1310" t="s">
        <v>269</v>
      </c>
      <c r="I9" s="1308" t="s">
        <v>286</v>
      </c>
      <c r="J9" s="1552" t="s">
        <v>270</v>
      </c>
      <c r="K9" s="1308" t="s">
        <v>286</v>
      </c>
      <c r="L9" s="1542" t="s">
        <v>271</v>
      </c>
      <c r="M9" s="1542"/>
      <c r="N9" s="1542"/>
      <c r="O9" s="1542" t="s">
        <v>336</v>
      </c>
      <c r="P9" s="1542"/>
      <c r="Q9" s="1542"/>
      <c r="R9" s="1542"/>
      <c r="S9" s="1542"/>
      <c r="T9" s="1542"/>
      <c r="U9" s="1542" t="s">
        <v>337</v>
      </c>
      <c r="V9" s="1542"/>
      <c r="W9" s="1542"/>
      <c r="X9" s="1542"/>
      <c r="Y9" s="1518" t="s">
        <v>358</v>
      </c>
      <c r="Z9" s="1538"/>
      <c r="AA9" s="1538" t="s">
        <v>368</v>
      </c>
      <c r="AB9" s="1517" t="s">
        <v>316</v>
      </c>
      <c r="AC9" s="1515" t="s">
        <v>276</v>
      </c>
      <c r="AD9" s="1516"/>
      <c r="AE9" s="30"/>
      <c r="AF9" s="30"/>
    </row>
    <row r="10" spans="1:32" ht="57" customHeight="1" thickBot="1" x14ac:dyDescent="0.3">
      <c r="A10" s="101" t="s">
        <v>280</v>
      </c>
      <c r="C10" s="30" t="s">
        <v>369</v>
      </c>
      <c r="D10" s="1544"/>
      <c r="E10" s="1547"/>
      <c r="F10" s="1547"/>
      <c r="G10" s="1546"/>
      <c r="H10" s="1544"/>
      <c r="I10" s="1551"/>
      <c r="J10" s="1553"/>
      <c r="K10" s="1551"/>
      <c r="L10" s="668" t="s">
        <v>271</v>
      </c>
      <c r="M10" s="840" t="s">
        <v>271</v>
      </c>
      <c r="N10" s="667" t="s">
        <v>317</v>
      </c>
      <c r="O10" s="668" t="s">
        <v>318</v>
      </c>
      <c r="P10" s="840" t="s">
        <v>370</v>
      </c>
      <c r="Q10" s="840" t="s">
        <v>320</v>
      </c>
      <c r="R10" s="840" t="s">
        <v>321</v>
      </c>
      <c r="S10" s="840" t="s">
        <v>322</v>
      </c>
      <c r="T10" s="667" t="s">
        <v>323</v>
      </c>
      <c r="U10" s="668" t="s">
        <v>324</v>
      </c>
      <c r="V10" s="840" t="s">
        <v>325</v>
      </c>
      <c r="W10" s="840" t="s">
        <v>326</v>
      </c>
      <c r="X10" s="667" t="s">
        <v>327</v>
      </c>
      <c r="Y10" s="853" t="s">
        <v>361</v>
      </c>
      <c r="Z10" s="821" t="s">
        <v>358</v>
      </c>
      <c r="AA10" s="1518"/>
      <c r="AB10" s="1520"/>
      <c r="AC10" s="214" t="s">
        <v>295</v>
      </c>
      <c r="AD10" s="748" t="s">
        <v>296</v>
      </c>
      <c r="AE10" s="682" t="s">
        <v>297</v>
      </c>
      <c r="AF10" s="682" t="s">
        <v>363</v>
      </c>
    </row>
    <row r="11" spans="1:32" ht="13.8" x14ac:dyDescent="0.2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3.8" x14ac:dyDescent="0.2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3.8" x14ac:dyDescent="0.2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3.8" x14ac:dyDescent="0.2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3.8" x14ac:dyDescent="0.2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3.8" x14ac:dyDescent="0.2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3.8" x14ac:dyDescent="0.2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3.8" x14ac:dyDescent="0.2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3.8" x14ac:dyDescent="0.2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3.8" x14ac:dyDescent="0.2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3.8" x14ac:dyDescent="0.2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3.8" x14ac:dyDescent="0.2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3.8" x14ac:dyDescent="0.2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3.8" x14ac:dyDescent="0.2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3.8" x14ac:dyDescent="0.2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3.8" x14ac:dyDescent="0.2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3.8" x14ac:dyDescent="0.2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3.8" x14ac:dyDescent="0.2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3.8" x14ac:dyDescent="0.2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3.8" x14ac:dyDescent="0.2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3.8" x14ac:dyDescent="0.2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3.8" x14ac:dyDescent="0.2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3.8" x14ac:dyDescent="0.2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3.8" x14ac:dyDescent="0.2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3.8" x14ac:dyDescent="0.2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3.8" x14ac:dyDescent="0.2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3.8" x14ac:dyDescent="0.2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3.8" x14ac:dyDescent="0.2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3.8" x14ac:dyDescent="0.2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3.8" x14ac:dyDescent="0.2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3.8" x14ac:dyDescent="0.2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3.8" x14ac:dyDescent="0.2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3.8" x14ac:dyDescent="0.2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3.8" x14ac:dyDescent="0.2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3.8" x14ac:dyDescent="0.2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3.8" x14ac:dyDescent="0.2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3.8" x14ac:dyDescent="0.2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3.8" x14ac:dyDescent="0.2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3.8" x14ac:dyDescent="0.2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3.8" x14ac:dyDescent="0.2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3.8" x14ac:dyDescent="0.2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3.8" x14ac:dyDescent="0.2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3.8" x14ac:dyDescent="0.2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3.8" x14ac:dyDescent="0.2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3.8" x14ac:dyDescent="0.2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3.8" x14ac:dyDescent="0.2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3.8" x14ac:dyDescent="0.2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3.8" x14ac:dyDescent="0.2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3.8" x14ac:dyDescent="0.2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3.8" x14ac:dyDescent="0.2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3.8" x14ac:dyDescent="0.2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3.8" x14ac:dyDescent="0.2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3.8" x14ac:dyDescent="0.2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3.8" x14ac:dyDescent="0.2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3.8" x14ac:dyDescent="0.2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3.8" x14ac:dyDescent="0.2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3.8" x14ac:dyDescent="0.2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3.8" x14ac:dyDescent="0.2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3.8" x14ac:dyDescent="0.2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3.8" x14ac:dyDescent="0.2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3.8" x14ac:dyDescent="0.2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3.8" x14ac:dyDescent="0.2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3.8" x14ac:dyDescent="0.2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3.8" x14ac:dyDescent="0.2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3.8" x14ac:dyDescent="0.2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3.8" x14ac:dyDescent="0.2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3.8" x14ac:dyDescent="0.2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3.8" x14ac:dyDescent="0.2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3.8" x14ac:dyDescent="0.2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3.8" x14ac:dyDescent="0.2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3.8" x14ac:dyDescent="0.2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3.8" x14ac:dyDescent="0.2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3.8" x14ac:dyDescent="0.2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3.8" x14ac:dyDescent="0.2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3.8" x14ac:dyDescent="0.2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3.8" x14ac:dyDescent="0.2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3.8" x14ac:dyDescent="0.2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3.8" x14ac:dyDescent="0.2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3.8" x14ac:dyDescent="0.2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3.8" x14ac:dyDescent="0.2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3.8" x14ac:dyDescent="0.2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3.8" x14ac:dyDescent="0.2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3.8" x14ac:dyDescent="0.2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3.8" x14ac:dyDescent="0.2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3.8" x14ac:dyDescent="0.2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3.8" x14ac:dyDescent="0.2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3.8" x14ac:dyDescent="0.2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3.8" x14ac:dyDescent="0.2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3.8" x14ac:dyDescent="0.2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3.8" x14ac:dyDescent="0.2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3.8" x14ac:dyDescent="0.2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3.8" x14ac:dyDescent="0.2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3.8" x14ac:dyDescent="0.2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3.8" x14ac:dyDescent="0.2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3.8" x14ac:dyDescent="0.2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3.8" x14ac:dyDescent="0.2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3.8" x14ac:dyDescent="0.2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3.8" x14ac:dyDescent="0.2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3.8" x14ac:dyDescent="0.2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3.8" x14ac:dyDescent="0.2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3.8" x14ac:dyDescent="0.2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3.8" x14ac:dyDescent="0.2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3.8" x14ac:dyDescent="0.2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3.8" x14ac:dyDescent="0.2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3.8" x14ac:dyDescent="0.2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3.8" x14ac:dyDescent="0.2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3.8" x14ac:dyDescent="0.2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3.8" x14ac:dyDescent="0.2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3.8" x14ac:dyDescent="0.2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3.8" x14ac:dyDescent="0.2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3.8" x14ac:dyDescent="0.2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3.8" x14ac:dyDescent="0.2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3.8" x14ac:dyDescent="0.2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3.8" x14ac:dyDescent="0.2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3.8" x14ac:dyDescent="0.2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3.8" x14ac:dyDescent="0.2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3.8" x14ac:dyDescent="0.2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3.8" x14ac:dyDescent="0.2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3.8" x14ac:dyDescent="0.2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3.8" x14ac:dyDescent="0.2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3.8" x14ac:dyDescent="0.2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3.8" x14ac:dyDescent="0.2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3.8" x14ac:dyDescent="0.2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3.8" x14ac:dyDescent="0.2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3.8" x14ac:dyDescent="0.2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3.8" x14ac:dyDescent="0.2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3.8" x14ac:dyDescent="0.2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3.8" x14ac:dyDescent="0.2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3.8" x14ac:dyDescent="0.2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3.8" x14ac:dyDescent="0.2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3.8" x14ac:dyDescent="0.2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3.8" x14ac:dyDescent="0.2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3.8" x14ac:dyDescent="0.2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3.8" x14ac:dyDescent="0.2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3.8" x14ac:dyDescent="0.2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3.8" x14ac:dyDescent="0.2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3.8" x14ac:dyDescent="0.2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3.8" x14ac:dyDescent="0.2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3.8" x14ac:dyDescent="0.2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3.8" x14ac:dyDescent="0.2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3.8" x14ac:dyDescent="0.2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3.8" x14ac:dyDescent="0.2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3.8" x14ac:dyDescent="0.2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3.8" x14ac:dyDescent="0.2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3.8" x14ac:dyDescent="0.2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3.8" x14ac:dyDescent="0.2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3.8" x14ac:dyDescent="0.2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3.8" x14ac:dyDescent="0.2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3.8" x14ac:dyDescent="0.2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3.8" x14ac:dyDescent="0.2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3.8" x14ac:dyDescent="0.2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3.8" x14ac:dyDescent="0.2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3.8" x14ac:dyDescent="0.2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3.8" x14ac:dyDescent="0.2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3.8" x14ac:dyDescent="0.2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3.8" x14ac:dyDescent="0.2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3.8" x14ac:dyDescent="0.2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3.8" x14ac:dyDescent="0.2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3.8" x14ac:dyDescent="0.2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3.8" x14ac:dyDescent="0.2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3.8" x14ac:dyDescent="0.2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3.8" x14ac:dyDescent="0.2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3.8" x14ac:dyDescent="0.2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3.8" x14ac:dyDescent="0.2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3.8" x14ac:dyDescent="0.2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3.8" x14ac:dyDescent="0.2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3.8" x14ac:dyDescent="0.2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3.8" x14ac:dyDescent="0.2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3.8" x14ac:dyDescent="0.2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3.8" x14ac:dyDescent="0.2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3.8" x14ac:dyDescent="0.2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3.8" x14ac:dyDescent="0.2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3.8" x14ac:dyDescent="0.2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3.8" x14ac:dyDescent="0.2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3.8" x14ac:dyDescent="0.2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3.8" x14ac:dyDescent="0.2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3.8" x14ac:dyDescent="0.2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3.8" x14ac:dyDescent="0.2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3.8" x14ac:dyDescent="0.2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3.8" x14ac:dyDescent="0.2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3.8" x14ac:dyDescent="0.2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3.8" x14ac:dyDescent="0.2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3.8" x14ac:dyDescent="0.2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3.8" x14ac:dyDescent="0.2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3.8" x14ac:dyDescent="0.2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3.8" x14ac:dyDescent="0.2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3.8" x14ac:dyDescent="0.2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3.8" x14ac:dyDescent="0.2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3.8" x14ac:dyDescent="0.2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3.8" x14ac:dyDescent="0.2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3.8" x14ac:dyDescent="0.2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3.8" x14ac:dyDescent="0.2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3.8" x14ac:dyDescent="0.2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3.8" x14ac:dyDescent="0.2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3.8" x14ac:dyDescent="0.2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3.8" x14ac:dyDescent="0.2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3.8" x14ac:dyDescent="0.2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3.8" x14ac:dyDescent="0.2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3.8" x14ac:dyDescent="0.2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3.8" x14ac:dyDescent="0.2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3.8" x14ac:dyDescent="0.2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3.8" x14ac:dyDescent="0.2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3.8" x14ac:dyDescent="0.2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3.8" x14ac:dyDescent="0.2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3.8" x14ac:dyDescent="0.2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3.8" x14ac:dyDescent="0.2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3.8" x14ac:dyDescent="0.2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3.8" x14ac:dyDescent="0.2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3.8" x14ac:dyDescent="0.2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3.8" x14ac:dyDescent="0.2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3.8" x14ac:dyDescent="0.2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3.8" x14ac:dyDescent="0.2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3.8" x14ac:dyDescent="0.2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3.8" x14ac:dyDescent="0.2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3.8" x14ac:dyDescent="0.2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3.8" x14ac:dyDescent="0.2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3.8" x14ac:dyDescent="0.2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3.8" x14ac:dyDescent="0.2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3.8" x14ac:dyDescent="0.2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3.8" x14ac:dyDescent="0.2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3.8" x14ac:dyDescent="0.2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3.8" x14ac:dyDescent="0.2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3.8" x14ac:dyDescent="0.2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3.8" x14ac:dyDescent="0.2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3.8" x14ac:dyDescent="0.2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3.8" x14ac:dyDescent="0.2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3.8" x14ac:dyDescent="0.2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3.8" x14ac:dyDescent="0.2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3.8" x14ac:dyDescent="0.2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3.8" x14ac:dyDescent="0.2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3.8" x14ac:dyDescent="0.2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3.8" x14ac:dyDescent="0.2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3.8" x14ac:dyDescent="0.2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3.8" x14ac:dyDescent="0.2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3.8" x14ac:dyDescent="0.2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3.8" x14ac:dyDescent="0.2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3.8" x14ac:dyDescent="0.2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3.8" x14ac:dyDescent="0.2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3.8" x14ac:dyDescent="0.2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3.8" x14ac:dyDescent="0.2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3.8" x14ac:dyDescent="0.2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3.8" x14ac:dyDescent="0.2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3.8" x14ac:dyDescent="0.2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3.8" x14ac:dyDescent="0.2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3.8" x14ac:dyDescent="0.2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4.4" thickBot="1" x14ac:dyDescent="0.3">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4.4" thickBot="1" x14ac:dyDescent="0.3">
      <c r="E257" s="655" t="s">
        <v>329</v>
      </c>
      <c r="F257" s="261" t="s">
        <v>330</v>
      </c>
      <c r="G257" s="403">
        <f>SUM(G11:G256)</f>
        <v>0</v>
      </c>
      <c r="T257" s="133"/>
      <c r="U257" s="133"/>
      <c r="V257" s="133"/>
      <c r="W257" s="133"/>
      <c r="X257" s="133"/>
      <c r="Y257" s="133"/>
      <c r="Z257" s="740" t="s">
        <v>331</v>
      </c>
      <c r="AA257" s="344">
        <f>SUM(AA11:AA256)</f>
        <v>0</v>
      </c>
      <c r="AB257" s="414">
        <f>SUM(AB11:AB256)</f>
        <v>0</v>
      </c>
    </row>
    <row r="258" spans="5:28" ht="14.4" thickBot="1" x14ac:dyDescent="0.3"/>
    <row r="259" spans="5:28" ht="14.4" thickBot="1" x14ac:dyDescent="0.3">
      <c r="E259" s="511" t="s">
        <v>305</v>
      </c>
      <c r="F259" s="35"/>
      <c r="G259" s="381">
        <f>IF('Detailed Results'!$K$40&gt;0,"Error",SUMIFS($G$11:$G$256,$F$11:$F$256,"&lt;&gt;"&amp;'G-1 All Habitats'!B80,$F$11:$F$256,"&lt;&gt;"&amp;'G-1 All Habitats'!B81,$F$11:$F$256,"&lt;&gt;"&amp;'G-1 All Habitats'!B67,$F$11:$F$256,"&lt;&gt;"&amp;'G-1 All Habitats'!B68, $F$11:$F$256,"&lt;&gt;"&amp;'G-1 All Habitats'!B81))</f>
        <v>0</v>
      </c>
    </row>
    <row r="260" spans="5:28" ht="14.4" thickBot="1" x14ac:dyDescent="0.3"/>
    <row r="261" spans="5:28" ht="13.8" x14ac:dyDescent="0.25">
      <c r="E261" s="1447" t="s">
        <v>307</v>
      </c>
      <c r="F261" s="36"/>
      <c r="G261" s="554" t="s">
        <v>308</v>
      </c>
      <c r="H261" s="551" t="s">
        <v>309</v>
      </c>
      <c r="I261" s="1406" t="s">
        <v>310</v>
      </c>
      <c r="J261" s="1407"/>
    </row>
    <row r="262" spans="5:28" ht="14.4" thickBot="1" x14ac:dyDescent="0.3">
      <c r="E262" s="1448"/>
      <c r="F262" s="36"/>
      <c r="G262" s="553"/>
      <c r="H262" s="552" t="str">
        <f>IF(G261="Hectares",G262,IF(G261="M²",G262/10000,""))</f>
        <v/>
      </c>
      <c r="I262" s="1408" t="str">
        <f>IF(G261="M²",G262,IF(G261="Hectares",G262*10000,""))</f>
        <v/>
      </c>
      <c r="J262" s="1409"/>
    </row>
    <row r="263" spans="5:28" ht="13.8" x14ac:dyDescent="0.25"/>
    <row r="264" spans="5:28" ht="13.8" hidden="1" x14ac:dyDescent="0.25">
      <c r="T264" s="30" t="s">
        <v>371</v>
      </c>
      <c r="U264" s="30" t="s">
        <v>371</v>
      </c>
      <c r="X264" s="30" t="s">
        <v>371</v>
      </c>
      <c r="AA264" s="30" t="s">
        <v>371</v>
      </c>
    </row>
    <row r="265" spans="5:28" ht="13.8" hidden="1" x14ac:dyDescent="0.25">
      <c r="T265" s="30" t="s">
        <v>371</v>
      </c>
      <c r="U265" s="30" t="s">
        <v>371</v>
      </c>
      <c r="X265" s="30" t="s">
        <v>371</v>
      </c>
      <c r="AA265" s="30" t="s">
        <v>371</v>
      </c>
    </row>
    <row r="266" spans="5:28" ht="13.8" hidden="1" x14ac:dyDescent="0.25"/>
    <row r="267" spans="5:28" ht="13.8" hidden="1" x14ac:dyDescent="0.25"/>
    <row r="268" spans="5:28" ht="13.8" hidden="1" x14ac:dyDescent="0.25"/>
    <row r="269" spans="5:28" ht="13.8" hidden="1" x14ac:dyDescent="0.25"/>
    <row r="270" spans="5:28" ht="13.8" hidden="1" x14ac:dyDescent="0.25"/>
  </sheetData>
  <sheetProtection algorithmName="SHA-512" hashValue="zp0KEWEQh0adOlV2BxfNpmrHnev/xxnbSPPwODTyiX11r8bXdsFk+OZ0jnWemrnA8/2+1oReVZAE+DcT+Fp/pg==" saltValue="xzORp/QJRIqx9FhDze/aLQ=="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 ref="E261:E262"/>
    <mergeCell ref="I261:J261"/>
    <mergeCell ref="I262:J262"/>
    <mergeCell ref="AA9:AA10"/>
    <mergeCell ref="U2:Y5"/>
    <mergeCell ref="H4:K4"/>
    <mergeCell ref="O2:T3"/>
    <mergeCell ref="H2:L2"/>
    <mergeCell ref="Y9:Z9"/>
    <mergeCell ref="H6:K6"/>
    <mergeCell ref="L9:N9"/>
    <mergeCell ref="O9:T9"/>
    <mergeCell ref="U9:X9"/>
    <mergeCell ref="U6:X6"/>
  </mergeCells>
  <conditionalFormatting sqref="Y11:Y256">
    <cfRule type="containsText" dxfId="577" priority="55" operator="containsText" text="Existing Value Not Required">
      <formula>NOT(ISERROR(SEARCH("Existing Value Not Required",Y11)))</formula>
    </cfRule>
    <cfRule type="containsText" dxfId="576" priority="56" operator="containsText" text="Existing Value Required">
      <formula>NOT(ISERROR(SEARCH("Existing Value Required",Y11)))</formula>
    </cfRule>
  </conditionalFormatting>
  <conditionalFormatting sqref="K11:K256">
    <cfRule type="containsText" dxfId="575" priority="54" operator="containsText" text="Not Possible">
      <formula>NOT(ISERROR(SEARCH("Not Possible",K11)))</formula>
    </cfRule>
  </conditionalFormatting>
  <conditionalFormatting sqref="Y12 Y24:Y256 Y14 Y16 Y18 Y20 Y22">
    <cfRule type="containsText" dxfId="574" priority="49" operator="containsText" text="Existing Value Not Required">
      <formula>NOT(ISERROR(SEARCH("Existing Value Not Required",Y12)))</formula>
    </cfRule>
    <cfRule type="containsText" dxfId="573" priority="50" operator="containsText" text="Existing Value Required">
      <formula>NOT(ISERROR(SEARCH("Existing Value Required",Y12)))</formula>
    </cfRule>
  </conditionalFormatting>
  <conditionalFormatting sqref="AA257:AB257 AA11:AA256">
    <cfRule type="containsText" dxfId="572" priority="45" operator="containsText" text="Existing Value Not Required">
      <formula>NOT(ISERROR(SEARCH("Existing Value Not Required",AA11)))</formula>
    </cfRule>
    <cfRule type="containsText" dxfId="571" priority="46" operator="containsText" text="Existing Value Required">
      <formula>NOT(ISERROR(SEARCH("Existing Value Required",AA11)))</formula>
    </cfRule>
  </conditionalFormatting>
  <conditionalFormatting sqref="M11:N256">
    <cfRule type="containsText" dxfId="570" priority="42" operator="containsText" text="Spatial ">
      <formula>NOT(ISERROR(SEARCH("Spatial ",M11)))</formula>
    </cfRule>
  </conditionalFormatting>
  <conditionalFormatting sqref="O11:O256">
    <cfRule type="containsText" dxfId="569" priority="41" operator="containsText" text="30+">
      <formula>NOT(ISERROR(SEARCH("30+",O11)))</formula>
    </cfRule>
  </conditionalFormatting>
  <conditionalFormatting sqref="Y11:AA11 AA257:AB257 AA11:AA256 Y12:Z256">
    <cfRule type="containsText" dxfId="568" priority="38" operator="containsText" text="Check">
      <formula>NOT(ISERROR(SEARCH("Check",Y11)))</formula>
    </cfRule>
    <cfRule type="containsText" dxfId="567" priority="39" operator="containsText" text="Error">
      <formula>NOT(ISERROR(SEARCH("Error",Y11)))</formula>
    </cfRule>
  </conditionalFormatting>
  <conditionalFormatting sqref="Z11:Z256">
    <cfRule type="containsText" dxfId="566" priority="37" operator="containsText" text="Spatial">
      <formula>NOT(ISERROR(SEARCH("Spatial",Z11)))</formula>
    </cfRule>
  </conditionalFormatting>
  <conditionalFormatting sqref="O2 O5 S4">
    <cfRule type="beginsWith" dxfId="565" priority="35" operator="beginsWith" text="Note">
      <formula>LEFT(O2,LEN("Note"))="Note"</formula>
    </cfRule>
  </conditionalFormatting>
  <conditionalFormatting sqref="O5">
    <cfRule type="containsText" dxfId="564" priority="34" operator="containsText" text="Check">
      <formula>NOT(ISERROR(SEARCH("Check",O5)))</formula>
    </cfRule>
  </conditionalFormatting>
  <conditionalFormatting sqref="S11:S256">
    <cfRule type="containsText" dxfId="563" priority="33" operator="containsText" text="30+">
      <formula>NOT(ISERROR(SEARCH("30+",S11)))</formula>
    </cfRule>
  </conditionalFormatting>
  <conditionalFormatting sqref="V11:V256">
    <cfRule type="containsText" dxfId="562" priority="31" operator="containsText" text="No - Low Difficulty">
      <formula>NOT(ISERROR(SEARCH("No - Low Difficulty",V11)))</formula>
    </cfRule>
  </conditionalFormatting>
  <conditionalFormatting sqref="R11:X11 S11:S255 R12:W256">
    <cfRule type="containsText" dxfId="561" priority="30" operator="containsText" text="Error">
      <formula>NOT(ISERROR(SEARCH("Error",R11)))</formula>
    </cfRule>
    <cfRule type="containsText" dxfId="560" priority="32" operator="containsText" text="Check">
      <formula>NOT(ISERROR(SEARCH("Check",R11)))</formula>
    </cfRule>
  </conditionalFormatting>
  <conditionalFormatting sqref="X12:X256">
    <cfRule type="containsText" dxfId="559" priority="20" operator="containsText" text="Error">
      <formula>NOT(ISERROR(SEARCH("Error",X12)))</formula>
    </cfRule>
    <cfRule type="containsText" dxfId="558" priority="21" operator="containsText" text="Check">
      <formula>NOT(ISERROR(SEARCH("Check",X12)))</formula>
    </cfRule>
  </conditionalFormatting>
  <conditionalFormatting sqref="L3">
    <cfRule type="containsText" dxfId="557" priority="18" operator="containsText" text="Error">
      <formula>NOT(ISERROR(SEARCH("Error",L3)))</formula>
    </cfRule>
    <cfRule type="containsText" dxfId="556" priority="19" operator="containsText" text="Check">
      <formula>NOT(ISERROR(SEARCH("Check",L3)))</formula>
    </cfRule>
  </conditionalFormatting>
  <conditionalFormatting sqref="L4">
    <cfRule type="containsText" dxfId="555" priority="2" operator="containsText" text="Error">
      <formula>NOT(ISERROR(SEARCH("Error",L4)))</formula>
    </cfRule>
    <cfRule type="containsText" dxfId="554" priority="3" operator="containsText" text="Check">
      <formula>NOT(ISERROR(SEARCH("Check",L4)))</formula>
    </cfRule>
    <cfRule type="cellIs" dxfId="553" priority="4" operator="equal">
      <formula>0</formula>
    </cfRule>
  </conditionalFormatting>
  <conditionalFormatting sqref="L5">
    <cfRule type="containsText" dxfId="552" priority="14" operator="containsText" text="No">
      <formula>NOT(ISERROR(SEARCH("No",L5)))</formula>
    </cfRule>
    <cfRule type="containsText" dxfId="551" priority="15" operator="containsText" text="Yes">
      <formula>NOT(ISERROR(SEARCH("Yes",L5)))</formula>
    </cfRule>
  </conditionalFormatting>
  <conditionalFormatting sqref="L6:N6">
    <cfRule type="containsText" dxfId="550" priority="12" operator="containsText" text=" 🗸">
      <formula>NOT(ISERROR(SEARCH(" 🗸",L6)))</formula>
    </cfRule>
    <cfRule type="containsText" dxfId="549" priority="13" operator="containsText" text="▲">
      <formula>NOT(ISERROR(SEARCH("▲",L6)))</formula>
    </cfRule>
  </conditionalFormatting>
  <conditionalFormatting sqref="U2:Y5">
    <cfRule type="containsText" dxfId="548" priority="11" operator="containsText" text="Check">
      <formula>NOT(ISERROR(SEARCH("Check",U2)))</formula>
    </cfRule>
  </conditionalFormatting>
  <conditionalFormatting sqref="AB11:AB256">
    <cfRule type="containsText" dxfId="547" priority="9" operator="containsText" text="Existing Value Not Required">
      <formula>NOT(ISERROR(SEARCH("Existing Value Not Required",AB11)))</formula>
    </cfRule>
    <cfRule type="containsText" dxfId="546" priority="10" operator="containsText" text="Existing Value Required">
      <formula>NOT(ISERROR(SEARCH("Existing Value Required",AB11)))</formula>
    </cfRule>
  </conditionalFormatting>
  <conditionalFormatting sqref="AB11:AB256">
    <cfRule type="containsText" dxfId="545" priority="7" operator="containsText" text="Check">
      <formula>NOT(ISERROR(SEARCH("Check",AB11)))</formula>
    </cfRule>
    <cfRule type="containsText" dxfId="544" priority="8" operator="containsText" text="Error">
      <formula>NOT(ISERROR(SEARCH("Error",AB11)))</formula>
    </cfRule>
  </conditionalFormatting>
  <conditionalFormatting sqref="U6:X6">
    <cfRule type="containsText" dxfId="543" priority="6" operator="containsText" text=" ⚠">
      <formula>NOT(ISERROR(SEARCH(" ⚠",U6)))</formula>
    </cfRule>
  </conditionalFormatting>
  <conditionalFormatting sqref="L4">
    <cfRule type="cellIs" dxfId="542" priority="429" operator="lessThan">
      <formula>0</formula>
    </cfRule>
  </conditionalFormatting>
  <conditionalFormatting sqref="L3:L6">
    <cfRule type="containsText" dxfId="541" priority="1" operator="containsText" text="N/A">
      <formula>NOT(ISERROR(SEARCH("N/A",L3)))</formula>
    </cfRule>
  </conditionalFormatting>
  <dataValidations count="4">
    <dataValidation type="list" allowBlank="1" showInputMessage="1" showErrorMessage="1" sqref="E11:E256" xr:uid="{00000000-0002-0000-0C00-000000000000}">
      <formula1>INDIRECT(C11)</formula1>
    </dataValidation>
    <dataValidation allowBlank="1" showErrorMessage="1" errorTitle="Invalid Habitat" error="Select from List" sqref="F11:F256" xr:uid="{00000000-0002-0000-0C00-000001000000}"/>
    <dataValidation type="list" allowBlank="1" showInputMessage="1" showErrorMessage="1" sqref="J11:J256" xr:uid="{00000000-0002-0000-0C00-000002000000}">
      <formula1>INDIRECT(A11)</formula1>
    </dataValidation>
    <dataValidation type="list" allowBlank="1" showInputMessage="1" showErrorMessage="1" sqref="G261" xr:uid="{22CC9972-899C-4516-9FB4-F9F5BA74E17A}">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3"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2"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30" operator="lessThan" id="{9FB64BC4-5452-406E-BB69-69551A90F2C1}">
            <xm:f>Start!$F$22</xm:f>
            <x14:dxf>
              <font>
                <color rgb="FF383745"/>
              </font>
              <fill>
                <patternFill>
                  <bgColor rgb="FFFFC000"/>
                </patternFill>
              </fill>
            </x14:dxf>
          </x14:cfRule>
          <x14:cfRule type="cellIs" priority="431"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'G-3 Multipliers'!$L$4:$L$6</xm:f>
          </x14:formula1>
          <xm:sqref>L11:L256</xm:sqref>
        </x14:dataValidation>
        <x14:dataValidation type="list" allowBlank="1" showInputMessage="1" showErrorMessage="1" xr:uid="{00000000-0002-0000-0C00-000006000000}">
          <x14:formula1>
            <xm:f>'G-4 Temporal multipliers'!$A$42:$A$75</xm:f>
          </x14:formula1>
          <xm:sqref>Q11:Q256</xm:sqref>
        </x14:dataValidation>
        <x14:dataValidation type="list" allowBlank="1" showInputMessage="1" showErrorMessage="1" xr:uid="{9F42BFD8-BCC2-4474-AB7B-AD07B16F507A}">
          <x14:formula1>
            <xm:f>'G-4 Temporal multipliers'!$A$42:$A$73</xm:f>
          </x14:formula1>
          <xm:sqref>P11:P256</xm:sqref>
        </x14:dataValidation>
        <x14:dataValidation type="list" allowBlank="1" showInputMessage="1" showErrorMessage="1" xr:uid="{9E1F3AED-34B7-48A0-B915-8887F0ED9949}">
          <x14:formula1>
            <xm:f>'G-1 All Habitats'!$AF$3:$AF$17</xm:f>
          </x14:formula1>
          <xm:sqref>D11:D256</xm:sqref>
        </x14:dataValidation>
        <x14:dataValidation type="list" allowBlank="1" showInputMessage="1" showErrorMessage="1" xr:uid="{00000000-0002-0000-0C00-000004000000}">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77734375" defaultRowHeight="13.8" zeroHeight="1" x14ac:dyDescent="0.25"/>
  <cols>
    <col min="1" max="1" width="8.44140625" style="30" hidden="1" customWidth="1"/>
    <col min="2" max="2" width="7.5546875" style="30" hidden="1" customWidth="1"/>
    <col min="3" max="3" width="25.77734375" style="30" hidden="1" customWidth="1"/>
    <col min="4" max="4" width="13.44140625" style="30" hidden="1" customWidth="1"/>
    <col min="5" max="5" width="12.21875" style="30" customWidth="1"/>
    <col min="6" max="6" width="73.44140625" style="30" customWidth="1"/>
    <col min="7" max="7" width="9.5546875" style="30" customWidth="1"/>
    <col min="8" max="8" width="18.21875" style="30" customWidth="1"/>
    <col min="9" max="9" width="19.21875" style="30" customWidth="1"/>
    <col min="10" max="10" width="18.21875" style="30" customWidth="1"/>
    <col min="11" max="11" width="19.21875" style="30" customWidth="1"/>
    <col min="12" max="12" width="22.21875" style="30" customWidth="1"/>
    <col min="13" max="13" width="21.5546875" style="30" customWidth="1"/>
    <col min="14" max="14" width="19.21875" style="30" customWidth="1"/>
    <col min="15" max="15" width="29.77734375" style="30" customWidth="1"/>
    <col min="16" max="16" width="25.77734375" style="30" hidden="1" customWidth="1"/>
    <col min="17" max="17" width="29.77734375" style="30" customWidth="1"/>
    <col min="18" max="18" width="71.21875" style="30" customWidth="1"/>
    <col min="19" max="19" width="15.77734375" style="30" hidden="1" customWidth="1"/>
    <col min="20" max="20" width="34.21875" style="30" customWidth="1"/>
    <col min="21" max="21" width="37.77734375" style="30" customWidth="1"/>
    <col min="22" max="22" width="8.21875" style="30" customWidth="1"/>
    <col min="23" max="23" width="18.21875" style="30" customWidth="1"/>
    <col min="24" max="24" width="13.21875" style="30" customWidth="1"/>
    <col min="25" max="25" width="12.5546875" style="30" bestFit="1" customWidth="1"/>
    <col min="26" max="26" width="12.5546875" style="30" customWidth="1"/>
    <col min="27" max="27" width="41.77734375" style="30" customWidth="1"/>
    <col min="28" max="28" width="20.21875" style="30" customWidth="1"/>
    <col min="29" max="29" width="12.21875" style="30" customWidth="1"/>
    <col min="30" max="30" width="18.44140625" style="30" customWidth="1"/>
    <col min="31" max="31" width="21.21875" style="30" customWidth="1"/>
    <col min="32" max="32" width="22.21875" style="30" customWidth="1"/>
    <col min="33" max="33" width="33" style="30" customWidth="1"/>
    <col min="34" max="35" width="18.44140625" style="30" customWidth="1"/>
    <col min="36" max="36" width="15.21875" style="30" customWidth="1"/>
    <col min="37" max="37" width="28.21875" style="30" customWidth="1"/>
    <col min="38" max="38" width="20.21875" style="30" customWidth="1"/>
    <col min="39" max="39" width="13.5546875" style="30" customWidth="1"/>
    <col min="40" max="40" width="91.44140625" style="30" customWidth="1"/>
    <col min="41" max="41" width="15.44140625" style="30" customWidth="1"/>
    <col min="42" max="42" width="12.44140625" style="30" hidden="1" customWidth="1"/>
    <col min="43" max="43" width="13.21875" style="30" customWidth="1"/>
    <col min="44" max="44" width="45.77734375" style="30" customWidth="1"/>
    <col min="45" max="45" width="50.44140625" style="30" customWidth="1"/>
    <col min="46" max="46" width="15.5546875" style="30" customWidth="1"/>
    <col min="47" max="47" width="17.77734375" style="30" customWidth="1"/>
    <col min="48" max="48" width="8.77734375" style="30" customWidth="1"/>
    <col min="49" max="16384" width="8.77734375" style="30"/>
  </cols>
  <sheetData>
    <row r="1" spans="1:47" ht="15.75" customHeight="1" thickBot="1" x14ac:dyDescent="0.3"/>
    <row r="2" spans="1:47" ht="19.95" customHeight="1" thickBot="1" x14ac:dyDescent="0.35">
      <c r="E2" s="1567" t="str">
        <f>CONCATENATE("Project Name:", " ", Start!F12, "     ", "Map Reference:", " ", Start!K66)</f>
        <v xml:space="preserve">Project Name: Grove Farm Solar     Map Reference: </v>
      </c>
      <c r="F2" s="1568"/>
      <c r="G2" s="1569"/>
      <c r="R2" s="1437" t="s">
        <v>262</v>
      </c>
      <c r="S2" s="1438"/>
      <c r="T2" s="1438"/>
      <c r="U2" s="1439"/>
      <c r="V2" s="1527" t="str" cm="1">
        <f t="array" ref="V2">IF(OR(Y12:Y258 = "Fairly Good", Y12:Y258 = "Fairly Poor"),"A 'Fairly' Category has been used - check evidence to ensure this is appropriate ⚠", "")</f>
        <v/>
      </c>
      <c r="W2" s="1527"/>
      <c r="X2" s="1527"/>
      <c r="Y2" s="1527"/>
      <c r="Z2" s="1527"/>
      <c r="AA2" s="1527"/>
      <c r="AD2" s="1485" t="str">
        <f>IF(OR(COUNTIF($AD$12:AD257,"*30+*")&gt;0,COUNTIF(AH12:AH257,"*30+*")&gt;0),"Note; Habitat selected has a time to target condition greater than 30 years. Non standard agreement may be required. ⚠","")</f>
        <v/>
      </c>
      <c r="AE2" s="1485"/>
      <c r="AF2" s="1485"/>
      <c r="AG2" s="1485"/>
      <c r="AH2" s="1485"/>
      <c r="AI2" s="1485"/>
    </row>
    <row r="3" spans="1:47" ht="15.75" customHeight="1" thickBot="1" x14ac:dyDescent="0.3">
      <c r="E3" s="1570" t="str">
        <f ca="1">MID(CELL("filename",E1),FIND("]",CELL("filename",E1))+1,256)</f>
        <v>D-3 Off-Site Habitat Enhancment</v>
      </c>
      <c r="F3" s="1571"/>
      <c r="G3" s="1572"/>
      <c r="R3" s="535" t="s">
        <v>263</v>
      </c>
      <c r="S3" s="505"/>
      <c r="T3" s="1508">
        <f>'Headline Results'!H47</f>
        <v>97.897490402123225</v>
      </c>
      <c r="U3" s="1509"/>
      <c r="V3" s="1527"/>
      <c r="W3" s="1527"/>
      <c r="X3" s="1527"/>
      <c r="Y3" s="1527"/>
      <c r="Z3" s="1527"/>
      <c r="AA3" s="1527"/>
      <c r="AD3" s="1485"/>
      <c r="AE3" s="1485"/>
      <c r="AF3" s="1485"/>
      <c r="AG3" s="1485"/>
      <c r="AH3" s="1485"/>
      <c r="AI3" s="1485"/>
    </row>
    <row r="4" spans="1:47" ht="15.75" customHeight="1" thickBot="1" x14ac:dyDescent="0.35">
      <c r="E4" s="1570"/>
      <c r="F4" s="1571"/>
      <c r="G4" s="1572"/>
      <c r="R4" s="506" t="s">
        <v>265</v>
      </c>
      <c r="S4" s="507"/>
      <c r="T4" s="1554">
        <f>'Headline Results'!H51</f>
        <v>1.012467323068333</v>
      </c>
      <c r="U4" s="1555"/>
      <c r="V4" s="1527"/>
      <c r="W4" s="1527"/>
      <c r="X4" s="1527"/>
      <c r="Y4" s="1527"/>
      <c r="Z4" s="1527"/>
      <c r="AA4" s="1527"/>
      <c r="AB4" s="31"/>
      <c r="AC4" s="158"/>
      <c r="AD4" s="331"/>
      <c r="AE4" s="331"/>
      <c r="AF4" s="331"/>
      <c r="AG4" s="331"/>
      <c r="AH4" s="158"/>
      <c r="AI4" s="158"/>
      <c r="AJ4" s="158"/>
      <c r="AK4" s="158"/>
      <c r="AL4" s="158"/>
      <c r="AM4" s="158"/>
      <c r="AN4" s="158"/>
    </row>
    <row r="5" spans="1:47" ht="15" customHeight="1" thickBot="1" x14ac:dyDescent="0.3">
      <c r="R5" s="536" t="s">
        <v>267</v>
      </c>
      <c r="S5" s="508"/>
      <c r="T5" s="1556" t="str" cm="1">
        <f t="array" ref="T5">IF(OR('Trading Summary Area Habitats'!G5:G8="No ▲"), "No - check trading summaries ▲", "Yes ✓")</f>
        <v>Yes ✓</v>
      </c>
      <c r="U5" s="1557"/>
      <c r="V5" s="1527"/>
      <c r="W5" s="1527"/>
      <c r="X5" s="1527"/>
      <c r="Y5" s="1527"/>
      <c r="Z5" s="1527"/>
      <c r="AA5" s="1527"/>
      <c r="AD5" s="1504" t="str">
        <f>IF(Q12&lt;&gt;A12,"Change in broad habitat type detected. Check compliance with guidance.","")</f>
        <v/>
      </c>
      <c r="AE5" s="1504"/>
      <c r="AF5" s="1504"/>
      <c r="AG5" s="1504"/>
      <c r="AH5" s="1504"/>
      <c r="AI5" s="1504"/>
    </row>
    <row r="6" spans="1:47" ht="15.75" customHeight="1" x14ac:dyDescent="0.25">
      <c r="R6" s="1543" t="str" cm="1">
        <f t="array" ref="R6">IF(OR(E11:E258="watercourse footprint"),"Please ensure the watercourse details for any watercourse footprints recorded are included in the watercourse tabs ⚠","")</f>
        <v/>
      </c>
      <c r="S6" s="1543"/>
      <c r="T6" s="1543"/>
      <c r="AD6" s="1504"/>
      <c r="AE6" s="1504"/>
      <c r="AF6" s="1504"/>
      <c r="AG6" s="1504"/>
      <c r="AH6" s="1504"/>
      <c r="AI6" s="1504"/>
    </row>
    <row r="7" spans="1:47" x14ac:dyDescent="0.25">
      <c r="F7" s="102"/>
      <c r="G7" s="101"/>
      <c r="R7" s="1543"/>
      <c r="S7" s="1543"/>
      <c r="T7" s="1543"/>
    </row>
    <row r="8" spans="1:47" ht="14.4" thickBot="1" x14ac:dyDescent="0.3">
      <c r="R8" s="1558"/>
      <c r="S8" s="1558"/>
      <c r="T8" s="1558"/>
    </row>
    <row r="9" spans="1:47" ht="14.4" thickBot="1" x14ac:dyDescent="0.3">
      <c r="F9" s="101"/>
      <c r="G9" s="101"/>
      <c r="H9" s="101"/>
      <c r="I9" s="101"/>
      <c r="J9" s="101"/>
      <c r="K9" s="101"/>
      <c r="L9" s="101"/>
      <c r="M9" s="101"/>
      <c r="N9" s="101"/>
      <c r="O9" s="101"/>
      <c r="P9" s="101"/>
      <c r="Q9" s="1548" t="s">
        <v>311</v>
      </c>
      <c r="R9" s="1549"/>
      <c r="S9" s="1549"/>
      <c r="T9" s="1549"/>
      <c r="U9" s="1549"/>
      <c r="V9" s="1549"/>
      <c r="W9" s="1549"/>
      <c r="X9" s="1549"/>
      <c r="Y9" s="1549"/>
      <c r="Z9" s="1549"/>
      <c r="AA9" s="1549"/>
      <c r="AB9" s="1549"/>
      <c r="AC9" s="1549"/>
      <c r="AD9" s="1549"/>
      <c r="AE9" s="1549"/>
      <c r="AF9" s="1549"/>
      <c r="AG9" s="1549"/>
      <c r="AH9" s="1549"/>
      <c r="AI9" s="1549"/>
      <c r="AJ9" s="1549"/>
      <c r="AK9" s="1549"/>
      <c r="AL9" s="1549"/>
      <c r="AM9" s="1549"/>
      <c r="AN9" s="1549"/>
      <c r="AO9" s="1550"/>
    </row>
    <row r="10" spans="1:47" ht="30.6" customHeight="1" thickBot="1" x14ac:dyDescent="0.3">
      <c r="F10" s="1573" t="s">
        <v>332</v>
      </c>
      <c r="G10" s="1575"/>
      <c r="H10" s="1575"/>
      <c r="I10" s="1575"/>
      <c r="J10" s="1575"/>
      <c r="K10" s="1575"/>
      <c r="L10" s="1575"/>
      <c r="M10" s="1575"/>
      <c r="N10" s="1575"/>
      <c r="O10" s="1576"/>
      <c r="P10" s="183"/>
      <c r="Q10" s="1573" t="s">
        <v>372</v>
      </c>
      <c r="R10" s="1576"/>
      <c r="S10" s="751"/>
      <c r="T10" s="1573" t="s">
        <v>334</v>
      </c>
      <c r="U10" s="1576"/>
      <c r="V10" s="1559" t="s">
        <v>373</v>
      </c>
      <c r="W10" s="1565" t="s">
        <v>269</v>
      </c>
      <c r="X10" s="1565" t="s">
        <v>286</v>
      </c>
      <c r="Y10" s="1565" t="s">
        <v>270</v>
      </c>
      <c r="Z10" s="1579" t="s">
        <v>286</v>
      </c>
      <c r="AA10" s="1577" t="s">
        <v>271</v>
      </c>
      <c r="AB10" s="1578"/>
      <c r="AC10" s="1574"/>
      <c r="AD10" s="1561" t="s">
        <v>314</v>
      </c>
      <c r="AE10" s="1562"/>
      <c r="AF10" s="1562"/>
      <c r="AG10" s="1562"/>
      <c r="AH10" s="1562"/>
      <c r="AI10" s="1563"/>
      <c r="AJ10" s="1561" t="s">
        <v>315</v>
      </c>
      <c r="AK10" s="1562"/>
      <c r="AL10" s="1562"/>
      <c r="AM10" s="1563"/>
      <c r="AN10" s="1573" t="s">
        <v>358</v>
      </c>
      <c r="AO10" s="1574"/>
      <c r="AP10" s="1520" t="s">
        <v>374</v>
      </c>
      <c r="AQ10" s="1520" t="s">
        <v>316</v>
      </c>
      <c r="AR10" s="1548" t="s">
        <v>276</v>
      </c>
      <c r="AS10" s="1550"/>
    </row>
    <row r="11" spans="1:47" ht="65.099999999999994" customHeight="1" thickBot="1" x14ac:dyDescent="0.3">
      <c r="A11" s="101" t="s">
        <v>282</v>
      </c>
      <c r="B11" s="101" t="s">
        <v>338</v>
      </c>
      <c r="C11" s="101" t="s">
        <v>280</v>
      </c>
      <c r="E11" s="140" t="s">
        <v>339</v>
      </c>
      <c r="F11" s="145" t="s">
        <v>340</v>
      </c>
      <c r="G11" s="145" t="s">
        <v>329</v>
      </c>
      <c r="H11" s="145" t="s">
        <v>342</v>
      </c>
      <c r="I11" s="145" t="s">
        <v>343</v>
      </c>
      <c r="J11" s="145" t="s">
        <v>344</v>
      </c>
      <c r="K11" s="145" t="s">
        <v>345</v>
      </c>
      <c r="L11" s="145" t="s">
        <v>346</v>
      </c>
      <c r="M11" s="145" t="s">
        <v>347</v>
      </c>
      <c r="N11" s="145" t="s">
        <v>348</v>
      </c>
      <c r="O11" s="144" t="s">
        <v>272</v>
      </c>
      <c r="P11" s="857" t="s">
        <v>369</v>
      </c>
      <c r="Q11" s="140" t="s">
        <v>350</v>
      </c>
      <c r="R11" s="144" t="s">
        <v>375</v>
      </c>
      <c r="S11" s="719" t="s">
        <v>376</v>
      </c>
      <c r="T11" s="140" t="s">
        <v>351</v>
      </c>
      <c r="U11" s="144" t="s">
        <v>352</v>
      </c>
      <c r="V11" s="1560"/>
      <c r="W11" s="1566"/>
      <c r="X11" s="1566"/>
      <c r="Y11" s="1566"/>
      <c r="Z11" s="1580"/>
      <c r="AA11" s="132" t="s">
        <v>271</v>
      </c>
      <c r="AB11" s="811" t="s">
        <v>271</v>
      </c>
      <c r="AC11" s="752" t="s">
        <v>317</v>
      </c>
      <c r="AD11" s="132" t="s">
        <v>318</v>
      </c>
      <c r="AE11" s="811" t="s">
        <v>377</v>
      </c>
      <c r="AF11" s="811" t="s">
        <v>354</v>
      </c>
      <c r="AG11" s="811" t="s">
        <v>321</v>
      </c>
      <c r="AH11" s="811" t="s">
        <v>322</v>
      </c>
      <c r="AI11" s="752" t="s">
        <v>323</v>
      </c>
      <c r="AJ11" s="132" t="s">
        <v>378</v>
      </c>
      <c r="AK11" s="811" t="s">
        <v>325</v>
      </c>
      <c r="AL11" s="811" t="s">
        <v>379</v>
      </c>
      <c r="AM11" s="752" t="s">
        <v>327</v>
      </c>
      <c r="AN11" s="719" t="s">
        <v>361</v>
      </c>
      <c r="AO11" s="858" t="s">
        <v>358</v>
      </c>
      <c r="AP11" s="1564"/>
      <c r="AQ11" s="1581"/>
      <c r="AR11" s="140" t="s">
        <v>295</v>
      </c>
      <c r="AS11" s="145" t="s">
        <v>296</v>
      </c>
      <c r="AT11" s="43" t="s">
        <v>297</v>
      </c>
      <c r="AU11" s="43" t="s">
        <v>363</v>
      </c>
    </row>
    <row r="12" spans="1:47" x14ac:dyDescent="0.25">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x14ac:dyDescent="0.25">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x14ac:dyDescent="0.25">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x14ac:dyDescent="0.25">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x14ac:dyDescent="0.25">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x14ac:dyDescent="0.25">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x14ac:dyDescent="0.25">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x14ac:dyDescent="0.25">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x14ac:dyDescent="0.25">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x14ac:dyDescent="0.25">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x14ac:dyDescent="0.25">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x14ac:dyDescent="0.25">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x14ac:dyDescent="0.25">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x14ac:dyDescent="0.25">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x14ac:dyDescent="0.25">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x14ac:dyDescent="0.25">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x14ac:dyDescent="0.25">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x14ac:dyDescent="0.25">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x14ac:dyDescent="0.25">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x14ac:dyDescent="0.25">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x14ac:dyDescent="0.25">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x14ac:dyDescent="0.25">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x14ac:dyDescent="0.25">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x14ac:dyDescent="0.25">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x14ac:dyDescent="0.25">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x14ac:dyDescent="0.25">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x14ac:dyDescent="0.25">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x14ac:dyDescent="0.25">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x14ac:dyDescent="0.25">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x14ac:dyDescent="0.25">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x14ac:dyDescent="0.25">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x14ac:dyDescent="0.25">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x14ac:dyDescent="0.25">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x14ac:dyDescent="0.25">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x14ac:dyDescent="0.25">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x14ac:dyDescent="0.25">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x14ac:dyDescent="0.25">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x14ac:dyDescent="0.25">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x14ac:dyDescent="0.25">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x14ac:dyDescent="0.25">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x14ac:dyDescent="0.25">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x14ac:dyDescent="0.25">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x14ac:dyDescent="0.25">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x14ac:dyDescent="0.25">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x14ac:dyDescent="0.25">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x14ac:dyDescent="0.25">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x14ac:dyDescent="0.25">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x14ac:dyDescent="0.25">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x14ac:dyDescent="0.25">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x14ac:dyDescent="0.25">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x14ac:dyDescent="0.25">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x14ac:dyDescent="0.25">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x14ac:dyDescent="0.25">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x14ac:dyDescent="0.25">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x14ac:dyDescent="0.25">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x14ac:dyDescent="0.25">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x14ac:dyDescent="0.25">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x14ac:dyDescent="0.25">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x14ac:dyDescent="0.25">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x14ac:dyDescent="0.25">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x14ac:dyDescent="0.25">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x14ac:dyDescent="0.25">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x14ac:dyDescent="0.25">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x14ac:dyDescent="0.25">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x14ac:dyDescent="0.25">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x14ac:dyDescent="0.25">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x14ac:dyDescent="0.25">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x14ac:dyDescent="0.25">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x14ac:dyDescent="0.25">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x14ac:dyDescent="0.25">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x14ac:dyDescent="0.25">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x14ac:dyDescent="0.25">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x14ac:dyDescent="0.25">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x14ac:dyDescent="0.25">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x14ac:dyDescent="0.25">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x14ac:dyDescent="0.25">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x14ac:dyDescent="0.25">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x14ac:dyDescent="0.25">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x14ac:dyDescent="0.25">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x14ac:dyDescent="0.25">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x14ac:dyDescent="0.25">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x14ac:dyDescent="0.25">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x14ac:dyDescent="0.25">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x14ac:dyDescent="0.25">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x14ac:dyDescent="0.25">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x14ac:dyDescent="0.25">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x14ac:dyDescent="0.25">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x14ac:dyDescent="0.25">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x14ac:dyDescent="0.25">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x14ac:dyDescent="0.25">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x14ac:dyDescent="0.25">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x14ac:dyDescent="0.25">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x14ac:dyDescent="0.25">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x14ac:dyDescent="0.25">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x14ac:dyDescent="0.25">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x14ac:dyDescent="0.25">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x14ac:dyDescent="0.25">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x14ac:dyDescent="0.25">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x14ac:dyDescent="0.25">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x14ac:dyDescent="0.25">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x14ac:dyDescent="0.25">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x14ac:dyDescent="0.25">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x14ac:dyDescent="0.25">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x14ac:dyDescent="0.25">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x14ac:dyDescent="0.25">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x14ac:dyDescent="0.25">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x14ac:dyDescent="0.25">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x14ac:dyDescent="0.25">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x14ac:dyDescent="0.25">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x14ac:dyDescent="0.25">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x14ac:dyDescent="0.25">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x14ac:dyDescent="0.25">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x14ac:dyDescent="0.25">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x14ac:dyDescent="0.25">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x14ac:dyDescent="0.25">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x14ac:dyDescent="0.25">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x14ac:dyDescent="0.25">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x14ac:dyDescent="0.25">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x14ac:dyDescent="0.25">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x14ac:dyDescent="0.25">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x14ac:dyDescent="0.25">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x14ac:dyDescent="0.25">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x14ac:dyDescent="0.25">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x14ac:dyDescent="0.25">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x14ac:dyDescent="0.25">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x14ac:dyDescent="0.25">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x14ac:dyDescent="0.25">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x14ac:dyDescent="0.25">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x14ac:dyDescent="0.25">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x14ac:dyDescent="0.25">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x14ac:dyDescent="0.25">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x14ac:dyDescent="0.25">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x14ac:dyDescent="0.25">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x14ac:dyDescent="0.25">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x14ac:dyDescent="0.25">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x14ac:dyDescent="0.25">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x14ac:dyDescent="0.25">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x14ac:dyDescent="0.25">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x14ac:dyDescent="0.25">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x14ac:dyDescent="0.25">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x14ac:dyDescent="0.25">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x14ac:dyDescent="0.25">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x14ac:dyDescent="0.25">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x14ac:dyDescent="0.25">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x14ac:dyDescent="0.25">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x14ac:dyDescent="0.25">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x14ac:dyDescent="0.25">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x14ac:dyDescent="0.25">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x14ac:dyDescent="0.25">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x14ac:dyDescent="0.25">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x14ac:dyDescent="0.25">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x14ac:dyDescent="0.25">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x14ac:dyDescent="0.25">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x14ac:dyDescent="0.25">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x14ac:dyDescent="0.25">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x14ac:dyDescent="0.25">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x14ac:dyDescent="0.25">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x14ac:dyDescent="0.25">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x14ac:dyDescent="0.25">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x14ac:dyDescent="0.25">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x14ac:dyDescent="0.25">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x14ac:dyDescent="0.25">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x14ac:dyDescent="0.25">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x14ac:dyDescent="0.25">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x14ac:dyDescent="0.25">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x14ac:dyDescent="0.25">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x14ac:dyDescent="0.25">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x14ac:dyDescent="0.25">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x14ac:dyDescent="0.25">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x14ac:dyDescent="0.25">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x14ac:dyDescent="0.25">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x14ac:dyDescent="0.25">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x14ac:dyDescent="0.25">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x14ac:dyDescent="0.25">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x14ac:dyDescent="0.25">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x14ac:dyDescent="0.25">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x14ac:dyDescent="0.25">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x14ac:dyDescent="0.25">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x14ac:dyDescent="0.25">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x14ac:dyDescent="0.25">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x14ac:dyDescent="0.25">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x14ac:dyDescent="0.25">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x14ac:dyDescent="0.25">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x14ac:dyDescent="0.25">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x14ac:dyDescent="0.25">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x14ac:dyDescent="0.25">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x14ac:dyDescent="0.25">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x14ac:dyDescent="0.25">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x14ac:dyDescent="0.25">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x14ac:dyDescent="0.25">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x14ac:dyDescent="0.25">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x14ac:dyDescent="0.25">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x14ac:dyDescent="0.25">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x14ac:dyDescent="0.25">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x14ac:dyDescent="0.25">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x14ac:dyDescent="0.25">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x14ac:dyDescent="0.25">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x14ac:dyDescent="0.25">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x14ac:dyDescent="0.25">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x14ac:dyDescent="0.25">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x14ac:dyDescent="0.25">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x14ac:dyDescent="0.25">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x14ac:dyDescent="0.25">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x14ac:dyDescent="0.25">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x14ac:dyDescent="0.25">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x14ac:dyDescent="0.25">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x14ac:dyDescent="0.25">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x14ac:dyDescent="0.25">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x14ac:dyDescent="0.25">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x14ac:dyDescent="0.25">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x14ac:dyDescent="0.25">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x14ac:dyDescent="0.25">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x14ac:dyDescent="0.25">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x14ac:dyDescent="0.25">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x14ac:dyDescent="0.25">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x14ac:dyDescent="0.25">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x14ac:dyDescent="0.25">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x14ac:dyDescent="0.25">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x14ac:dyDescent="0.25">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x14ac:dyDescent="0.25">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x14ac:dyDescent="0.25">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x14ac:dyDescent="0.25">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x14ac:dyDescent="0.25">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x14ac:dyDescent="0.25">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x14ac:dyDescent="0.25">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x14ac:dyDescent="0.25">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x14ac:dyDescent="0.25">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x14ac:dyDescent="0.25">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x14ac:dyDescent="0.25">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x14ac:dyDescent="0.25">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x14ac:dyDescent="0.25">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x14ac:dyDescent="0.25">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x14ac:dyDescent="0.25">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x14ac:dyDescent="0.25">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x14ac:dyDescent="0.25">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x14ac:dyDescent="0.25">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x14ac:dyDescent="0.25">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x14ac:dyDescent="0.25">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x14ac:dyDescent="0.25">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x14ac:dyDescent="0.25">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x14ac:dyDescent="0.25">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x14ac:dyDescent="0.25">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x14ac:dyDescent="0.25">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x14ac:dyDescent="0.25">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x14ac:dyDescent="0.25">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x14ac:dyDescent="0.25">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4.4" thickBot="1" x14ac:dyDescent="0.3">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x14ac:dyDescent="0.3">
      <c r="E259" s="34"/>
      <c r="F259" s="34"/>
      <c r="G259" s="34"/>
      <c r="H259" s="34"/>
      <c r="I259" s="34"/>
      <c r="J259" s="34"/>
      <c r="K259" s="34"/>
      <c r="L259" s="34"/>
      <c r="M259" s="34"/>
      <c r="N259" s="34"/>
      <c r="O259" s="34"/>
      <c r="P259" s="34"/>
      <c r="Q259" s="34"/>
      <c r="R259" s="34"/>
      <c r="S259" s="34"/>
      <c r="T259" s="34"/>
      <c r="U259" s="891" t="s">
        <v>329</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x14ac:dyDescent="0.25">
      <c r="V260" s="30" t="str">
        <f>IF(V259&lt;&gt;'D-1 Off-Site Habitat Baseline'!W259,"Error - Area of habitat enhancement must match the area from sheet D1 ▲","")</f>
        <v/>
      </c>
    </row>
    <row r="261" spans="1:47" x14ac:dyDescent="0.25"/>
    <row r="262" spans="1:47" x14ac:dyDescent="0.25"/>
    <row r="263" spans="1:47" x14ac:dyDescent="0.25"/>
    <row r="264" spans="1:47" x14ac:dyDescent="0.25"/>
    <row r="265" spans="1:47" x14ac:dyDescent="0.25"/>
    <row r="266" spans="1:47" x14ac:dyDescent="0.25"/>
    <row r="267" spans="1:47" x14ac:dyDescent="0.25"/>
    <row r="268" spans="1:47" x14ac:dyDescent="0.25"/>
    <row r="269" spans="1:47" x14ac:dyDescent="0.25"/>
  </sheetData>
  <sheetProtection algorithmName="SHA-512" hashValue="/Gf1/wgfqzR3gn9nfwteV4SWHJFEejL4cT1R59qwX/gKjybdcLqMu+ZrFlWaFqNuVccQcZy01fRtFxEGnAv/IQ==" saltValue="NAgMbNX6RVTyNOixTtPqvQ=="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 ref="V10:V11"/>
    <mergeCell ref="AD10:AI10"/>
    <mergeCell ref="AJ10:AM10"/>
    <mergeCell ref="AP10:AP11"/>
    <mergeCell ref="W10:W11"/>
    <mergeCell ref="T3:U3"/>
    <mergeCell ref="T4:U4"/>
    <mergeCell ref="T5:U5"/>
    <mergeCell ref="R2:U2"/>
    <mergeCell ref="R6:T8"/>
  </mergeCells>
  <conditionalFormatting sqref="Z12:Z258">
    <cfRule type="containsText" dxfId="538" priority="57" operator="containsText" text="Not Possible">
      <formula>NOT(ISERROR(SEARCH("Not Possible",Z12)))</formula>
    </cfRule>
  </conditionalFormatting>
  <conditionalFormatting sqref="AN12:AN258">
    <cfRule type="containsText" dxfId="537" priority="54" operator="containsText" text="Existing Value Not Required">
      <formula>NOT(ISERROR(SEARCH("Existing Value Not Required",AN12)))</formula>
    </cfRule>
    <cfRule type="containsText" dxfId="536" priority="55" operator="containsText" text="Existing Value Required">
      <formula>NOT(ISERROR(SEARCH("Existing Value Required",AN12)))</formula>
    </cfRule>
  </conditionalFormatting>
  <conditionalFormatting sqref="Z13">
    <cfRule type="containsText" dxfId="535" priority="36" operator="containsText" text="Not Possible">
      <formula>NOT(ISERROR(SEARCH("Not Possible",Z13)))</formula>
    </cfRule>
  </conditionalFormatting>
  <conditionalFormatting sqref="AN13">
    <cfRule type="containsText" dxfId="534" priority="34" operator="containsText" text="Existing Value Not Required">
      <formula>NOT(ISERROR(SEARCH("Existing Value Not Required",AN13)))</formula>
    </cfRule>
    <cfRule type="containsText" dxfId="533" priority="35" operator="containsText" text="Existing Value Required">
      <formula>NOT(ISERROR(SEARCH("Existing Value Required",AN13)))</formula>
    </cfRule>
  </conditionalFormatting>
  <conditionalFormatting sqref="AN14:AN258">
    <cfRule type="containsText" dxfId="532" priority="31" operator="containsText" text="Existing Value Not Required">
      <formula>NOT(ISERROR(SEARCH("Existing Value Not Required",AN14)))</formula>
    </cfRule>
    <cfRule type="containsText" dxfId="531" priority="32" operator="containsText" text="Existing Value Required">
      <formula>NOT(ISERROR(SEARCH("Existing Value Required",AN14)))</formula>
    </cfRule>
  </conditionalFormatting>
  <conditionalFormatting sqref="Z14:Z258">
    <cfRule type="containsText" dxfId="530" priority="33" operator="containsText" text="Not Possible">
      <formula>NOT(ISERROR(SEARCH("Not Possible",Z14)))</formula>
    </cfRule>
  </conditionalFormatting>
  <conditionalFormatting sqref="AP12:AP258">
    <cfRule type="containsText" dxfId="529" priority="29" operator="containsText" text="Existing Value Not Required">
      <formula>NOT(ISERROR(SEARCH("Existing Value Not Required",AP12)))</formula>
    </cfRule>
    <cfRule type="containsText" dxfId="528" priority="30" operator="containsText" text="Existing Value Required">
      <formula>NOT(ISERROR(SEARCH("Existing Value Required",AP12)))</formula>
    </cfRule>
  </conditionalFormatting>
  <conditionalFormatting sqref="O12:O258">
    <cfRule type="beginsWith" dxfId="527" priority="25" operator="beginsWith" text="Bespoke">
      <formula>LEFT(O12,LEN("Bespoke"))="Bespoke"</formula>
    </cfRule>
    <cfRule type="beginsWith" dxfId="526" priority="26" operator="beginsWith" text="Same distinctiveness">
      <formula>LEFT(O12,LEN("Same distinctiveness"))="Same distinctiveness"</formula>
    </cfRule>
    <cfRule type="beginsWith" dxfId="525" priority="27" operator="beginsWith" text="Same broad">
      <formula>LEFT(O12,LEN("Same broad"))="Same broad"</formula>
    </cfRule>
    <cfRule type="beginsWith" dxfId="524" priority="28" operator="beginsWith" text="Same Habitat">
      <formula>LEFT(O12,LEN("Same Habitat"))="Same Habitat"</formula>
    </cfRule>
  </conditionalFormatting>
  <conditionalFormatting sqref="T12:AP258">
    <cfRule type="containsText" dxfId="523" priority="24" operator="containsText" text="Error">
      <formula>NOT(ISERROR(SEARCH("Error",T12)))</formula>
    </cfRule>
  </conditionalFormatting>
  <conditionalFormatting sqref="AB12:AC258">
    <cfRule type="containsText" dxfId="522" priority="23" operator="containsText" text="Spatial">
      <formula>NOT(ISERROR(SEARCH("Spatial",AB12)))</formula>
    </cfRule>
  </conditionalFormatting>
  <conditionalFormatting sqref="AD2">
    <cfRule type="containsText" dxfId="521" priority="22" operator="containsText" text="Note">
      <formula>NOT(ISERROR(SEARCH("Note",AD2)))</formula>
    </cfRule>
  </conditionalFormatting>
  <conditionalFormatting sqref="AD12:AP258">
    <cfRule type="containsText" dxfId="520" priority="21" operator="containsText" text="Check">
      <formula>NOT(ISERROR(SEARCH("Check",AD12)))</formula>
    </cfRule>
  </conditionalFormatting>
  <conditionalFormatting sqref="AO12:AO258">
    <cfRule type="containsText" dxfId="519" priority="20" operator="containsText" text="Spatial">
      <formula>NOT(ISERROR(SEARCH("Spatial",AO12)))</formula>
    </cfRule>
  </conditionalFormatting>
  <conditionalFormatting sqref="V260">
    <cfRule type="containsText" dxfId="518" priority="19" operator="containsText" text="Error">
      <formula>NOT(ISERROR(SEARCH("Error",V260)))</formula>
    </cfRule>
  </conditionalFormatting>
  <conditionalFormatting sqref="AD5">
    <cfRule type="containsText" dxfId="517" priority="18" operator="containsText" text="Change">
      <formula>NOT(ISERROR(SEARCH("Change",AD5)))</formula>
    </cfRule>
  </conditionalFormatting>
  <conditionalFormatting sqref="T3">
    <cfRule type="containsText" dxfId="516" priority="16" operator="containsText" text="Error">
      <formula>NOT(ISERROR(SEARCH("Error",T3)))</formula>
    </cfRule>
    <cfRule type="containsText" dxfId="515" priority="17" operator="containsText" text="Check">
      <formula>NOT(ISERROR(SEARCH("Check",T3)))</formula>
    </cfRule>
  </conditionalFormatting>
  <conditionalFormatting sqref="T4">
    <cfRule type="containsText" dxfId="514" priority="2" operator="containsText" text="Error">
      <formula>NOT(ISERROR(SEARCH("Error",T4)))</formula>
    </cfRule>
    <cfRule type="containsText" dxfId="513" priority="3" operator="containsText" text="Check">
      <formula>NOT(ISERROR(SEARCH("Check",T4)))</formula>
    </cfRule>
  </conditionalFormatting>
  <conditionalFormatting sqref="T5">
    <cfRule type="containsText" dxfId="512" priority="12" operator="containsText" text="No">
      <formula>NOT(ISERROR(SEARCH("No",T5)))</formula>
    </cfRule>
    <cfRule type="containsText" dxfId="511" priority="13" operator="containsText" text="Yes">
      <formula>NOT(ISERROR(SEARCH("Yes",T5)))</formula>
    </cfRule>
  </conditionalFormatting>
  <conditionalFormatting sqref="V2:AA5">
    <cfRule type="containsText" dxfId="510" priority="11" operator="containsText" text="Check">
      <formula>NOT(ISERROR(SEARCH("Check",V2)))</formula>
    </cfRule>
  </conditionalFormatting>
  <conditionalFormatting sqref="AQ12:AQ258">
    <cfRule type="containsText" dxfId="509" priority="9" operator="containsText" text="Existing Value Not Required">
      <formula>NOT(ISERROR(SEARCH("Existing Value Not Required",AQ12)))</formula>
    </cfRule>
    <cfRule type="containsText" dxfId="508" priority="10" operator="containsText" text="Existing Value Required">
      <formula>NOT(ISERROR(SEARCH("Existing Value Required",AQ12)))</formula>
    </cfRule>
  </conditionalFormatting>
  <conditionalFormatting sqref="AQ12:AQ258">
    <cfRule type="containsText" dxfId="507" priority="8" operator="containsText" text="Error">
      <formula>NOT(ISERROR(SEARCH("Error",AQ12)))</formula>
    </cfRule>
  </conditionalFormatting>
  <conditionalFormatting sqref="AQ12:AQ258">
    <cfRule type="containsText" dxfId="506" priority="7" operator="containsText" text="Check">
      <formula>NOT(ISERROR(SEARCH("Check",AQ12)))</formula>
    </cfRule>
  </conditionalFormatting>
  <conditionalFormatting sqref="R6:T8">
    <cfRule type="containsText" dxfId="505" priority="6" operator="containsText" text="⚠">
      <formula>NOT(ISERROR(SEARCH("⚠",R6)))</formula>
    </cfRule>
  </conditionalFormatting>
  <conditionalFormatting sqref="T4:U4">
    <cfRule type="cellIs" dxfId="504" priority="4" operator="equal">
      <formula>0</formula>
    </cfRule>
    <cfRule type="cellIs" dxfId="503" priority="5" operator="lessThan">
      <formula>0</formula>
    </cfRule>
  </conditionalFormatting>
  <conditionalFormatting sqref="T3:U5">
    <cfRule type="containsText" dxfId="502" priority="1" operator="containsText" text="N/A">
      <formula>NOT(ISERROR(SEARCH("N/A",T3)))</formula>
    </cfRule>
  </conditionalFormatting>
  <dataValidations count="3">
    <dataValidation allowBlank="1" showErrorMessage="1" errorTitle="Invalid Habitat" error="Select from List" sqref="S12:S258" xr:uid="{00000000-0002-0000-0E00-000001000000}"/>
    <dataValidation type="list" allowBlank="1" showInputMessage="1" showErrorMessage="1" sqref="Y12:Y258" xr:uid="{00000000-0002-0000-0E00-000002000000}">
      <formula1>INDIRECT(C12)</formula1>
    </dataValidation>
    <dataValidation type="list" allowBlank="1" showInputMessage="1" showErrorMessage="1" sqref="R12:R258" xr:uid="{0C3C67F0-C9FA-40C9-B879-4075FC0B6C12}">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2" operator="lessThan" id="{3FC4BA11-E79F-41AE-8528-BD37238A0A58}">
            <xm:f>Start!$F$22</xm:f>
            <x14:dxf>
              <font>
                <color rgb="FF383745"/>
              </font>
              <fill>
                <patternFill>
                  <bgColor rgb="FFFFC000"/>
                </patternFill>
              </fill>
            </x14:dxf>
          </x14:cfRule>
          <x14:cfRule type="cellIs" priority="433"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3000000}">
          <x14:formula1>
            <xm:f>'G-3 Multipliers'!$L$4:$L$6</xm:f>
          </x14:formula1>
          <xm:sqref>AA12:AA258</xm:sqref>
        </x14:dataValidation>
        <x14:dataValidation type="list" allowBlank="1" showInputMessage="1" showErrorMessage="1" xr:uid="{00000000-0002-0000-0E00-000006000000}">
          <x14:formula1>
            <xm:f>'G-4 Temporal multipliers'!$A$42:$A$73</xm:f>
          </x14:formula1>
          <xm:sqref>AE12:AF258</xm:sqref>
        </x14:dataValidation>
        <x14:dataValidation type="list" allowBlank="1" showInputMessage="1" showErrorMessage="1" xr:uid="{79C42C9A-3147-4F4A-A193-6EBFC85DF097}">
          <x14:formula1>
            <xm:f>'G-1 All Habitats'!$AF$3:$AF$17</xm:f>
          </x14:formula1>
          <xm:sqref>Q12:Q258</xm:sqref>
        </x14:dataValidation>
        <x14:dataValidation type="list" allowBlank="1" showInputMessage="1" showErrorMessage="1" xr:uid="{00000000-0002-0000-0E00-000004000000}">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8">
    <tabColor rgb="FF663300"/>
  </sheetPr>
  <dimension ref="B1:AL264"/>
  <sheetViews>
    <sheetView zoomScale="80" zoomScaleNormal="80" workbookViewId="0">
      <pane ySplit="9" topLeftCell="A10" activePane="bottomLeft" state="frozen"/>
      <selection pane="bottomLeft" activeCell="D18" sqref="D18"/>
    </sheetView>
  </sheetViews>
  <sheetFormatPr defaultColWidth="8.77734375" defaultRowHeight="13.8" x14ac:dyDescent="0.25"/>
  <cols>
    <col min="1" max="1" width="3" style="30" customWidth="1"/>
    <col min="2" max="2" width="11.77734375" style="30" customWidth="1"/>
    <col min="3" max="3" width="12.77734375" style="30" customWidth="1"/>
    <col min="4" max="4" width="62.5546875" style="30" customWidth="1"/>
    <col min="5" max="5" width="10.77734375" style="30" customWidth="1"/>
    <col min="6" max="6" width="19.21875" style="30" customWidth="1"/>
    <col min="7" max="7" width="8.77734375" style="30" hidden="1" customWidth="1"/>
    <col min="8" max="8" width="14.21875" style="30" bestFit="1" customWidth="1"/>
    <col min="9" max="9" width="8.44140625" style="30" hidden="1" customWidth="1"/>
    <col min="10" max="10" width="52.21875" style="30" customWidth="1"/>
    <col min="11" max="11" width="21.44140625" style="30" hidden="1" customWidth="1"/>
    <col min="12" max="12" width="13.21875" style="30" hidden="1" customWidth="1"/>
    <col min="13" max="13" width="20.77734375" style="30" customWidth="1"/>
    <col min="14" max="14" width="13.21875" style="30" customWidth="1"/>
    <col min="15" max="15" width="3.77734375" style="30" customWidth="1"/>
    <col min="16" max="17" width="12" style="30" customWidth="1"/>
    <col min="18" max="18" width="10.21875" style="30" customWidth="1"/>
    <col min="19" max="19" width="12" style="30" customWidth="1"/>
    <col min="20" max="21" width="8.77734375" style="30" customWidth="1"/>
    <col min="22" max="23" width="50.21875" style="30" customWidth="1"/>
    <col min="24" max="24" width="14.44140625" style="30" customWidth="1"/>
    <col min="25" max="25" width="8.77734375" style="30" customWidth="1"/>
    <col min="26" max="26" width="25.21875" style="30" customWidth="1"/>
    <col min="27" max="27" width="11.44140625" style="30" hidden="1" customWidth="1"/>
    <col min="28" max="28" width="21" style="30" hidden="1" customWidth="1"/>
    <col min="29" max="29" width="13.5546875" style="30" hidden="1" customWidth="1"/>
    <col min="30" max="30" width="13.77734375" style="30" hidden="1" customWidth="1"/>
    <col min="31" max="31" width="15" style="30" hidden="1" customWidth="1"/>
    <col min="32" max="32" width="14.21875" style="30" hidden="1" customWidth="1"/>
    <col min="33" max="33" width="11.77734375" style="30" hidden="1" customWidth="1"/>
    <col min="34" max="34" width="15.77734375" style="30" hidden="1" customWidth="1"/>
    <col min="35" max="35" width="12.77734375" style="30" hidden="1" customWidth="1"/>
    <col min="36" max="36" width="16.77734375" style="30" hidden="1" customWidth="1"/>
    <col min="37" max="37" width="15.21875" style="30" hidden="1" customWidth="1"/>
    <col min="38" max="38" width="26.5546875" style="30" hidden="1" customWidth="1"/>
    <col min="39" max="39" width="0" style="30" hidden="1" customWidth="1"/>
    <col min="40" max="16384" width="8.77734375" style="30"/>
  </cols>
  <sheetData>
    <row r="1" spans="2:38" ht="14.4" thickBot="1" x14ac:dyDescent="0.3"/>
    <row r="2" spans="2:38" ht="18" thickBot="1" x14ac:dyDescent="0.35">
      <c r="B2" s="1567" t="str">
        <f>CONCATENATE("Project Name:", " ", Start!F12, "     ", "Map Reference:", " ", Start!F55)</f>
        <v xml:space="preserve">Project Name: Grove Farm Solar     Map Reference: </v>
      </c>
      <c r="C2" s="1568"/>
      <c r="D2" s="1569"/>
      <c r="F2" s="1437" t="s">
        <v>380</v>
      </c>
      <c r="G2" s="1438"/>
      <c r="H2" s="1438"/>
      <c r="I2" s="1438"/>
      <c r="J2" s="1439"/>
    </row>
    <row r="3" spans="2:38" x14ac:dyDescent="0.25">
      <c r="B3" s="1185" t="str">
        <f ca="1">MID(CELL("filename",A1),FIND("]",CELL("filename",A1))+1,256)</f>
        <v>B-1 On-Site Hedge Baseline</v>
      </c>
      <c r="C3" s="1186"/>
      <c r="D3" s="1187"/>
      <c r="F3" s="1488" t="s">
        <v>263</v>
      </c>
      <c r="G3" s="1489"/>
      <c r="H3" s="1489"/>
      <c r="I3" s="1489"/>
      <c r="J3" s="512">
        <f>'Headline Results'!H48</f>
        <v>16.669627715952004</v>
      </c>
    </row>
    <row r="4" spans="2:38" ht="14.4" thickBot="1" x14ac:dyDescent="0.3">
      <c r="B4" s="1188"/>
      <c r="C4" s="1189"/>
      <c r="D4" s="1190"/>
      <c r="F4" s="1583" t="s">
        <v>265</v>
      </c>
      <c r="G4" s="1584"/>
      <c r="H4" s="1584"/>
      <c r="I4" s="1584"/>
      <c r="J4" s="513">
        <f>'Headline Results'!H52</f>
        <v>1.0264549086177341</v>
      </c>
    </row>
    <row r="5" spans="2:38" ht="14.4" thickBot="1" x14ac:dyDescent="0.3">
      <c r="F5" s="1582" t="s">
        <v>267</v>
      </c>
      <c r="G5" s="1556"/>
      <c r="H5" s="1556"/>
      <c r="I5" s="1556"/>
      <c r="J5" s="504" t="str" cm="1">
        <f t="array" ref="J5">IF(OR('Trading Summary Hedgerows'!G5:H8="No ▲"), "No - check trading summary ▲", "Yes ✓")</f>
        <v>Yes ✓</v>
      </c>
    </row>
    <row r="7" spans="2:38" ht="14.4" thickBot="1" x14ac:dyDescent="0.3">
      <c r="B7" s="102"/>
      <c r="C7" s="102"/>
      <c r="E7" s="101"/>
    </row>
    <row r="8" spans="2:38" s="33" customFormat="1" ht="28.2" thickBot="1" x14ac:dyDescent="0.3">
      <c r="B8" s="32"/>
      <c r="C8" s="1561" t="s">
        <v>381</v>
      </c>
      <c r="D8" s="1562"/>
      <c r="E8" s="1563"/>
      <c r="F8" s="1542" t="s">
        <v>269</v>
      </c>
      <c r="G8" s="1542"/>
      <c r="H8" s="1542" t="s">
        <v>357</v>
      </c>
      <c r="I8" s="1542"/>
      <c r="J8" s="1542" t="s">
        <v>271</v>
      </c>
      <c r="K8" s="1542"/>
      <c r="L8" s="1542"/>
      <c r="M8" s="1520" t="s">
        <v>272</v>
      </c>
      <c r="N8" s="134" t="s">
        <v>273</v>
      </c>
      <c r="O8" s="30"/>
      <c r="P8" s="1561" t="s">
        <v>274</v>
      </c>
      <c r="Q8" s="1562"/>
      <c r="R8" s="1562"/>
      <c r="S8" s="1562"/>
      <c r="T8" s="1562"/>
      <c r="U8" s="1563"/>
      <c r="V8" s="1561" t="s">
        <v>276</v>
      </c>
      <c r="W8" s="1563"/>
    </row>
    <row r="9" spans="2:38" ht="42" thickBot="1" x14ac:dyDescent="0.3">
      <c r="B9" s="719" t="s">
        <v>339</v>
      </c>
      <c r="C9" s="132" t="s">
        <v>382</v>
      </c>
      <c r="D9" s="811" t="s">
        <v>161</v>
      </c>
      <c r="E9" s="752" t="s">
        <v>34</v>
      </c>
      <c r="F9" s="132" t="s">
        <v>269</v>
      </c>
      <c r="G9" s="752" t="s">
        <v>286</v>
      </c>
      <c r="H9" s="132" t="s">
        <v>270</v>
      </c>
      <c r="I9" s="752" t="s">
        <v>286</v>
      </c>
      <c r="J9" s="132" t="s">
        <v>271</v>
      </c>
      <c r="K9" s="811" t="s">
        <v>271</v>
      </c>
      <c r="L9" s="752" t="s">
        <v>317</v>
      </c>
      <c r="M9" s="1581"/>
      <c r="N9" s="169" t="s">
        <v>383</v>
      </c>
      <c r="P9" s="132" t="s">
        <v>384</v>
      </c>
      <c r="Q9" s="811" t="s">
        <v>385</v>
      </c>
      <c r="R9" s="811" t="s">
        <v>386</v>
      </c>
      <c r="S9" s="811" t="s">
        <v>387</v>
      </c>
      <c r="T9" s="811" t="s">
        <v>388</v>
      </c>
      <c r="U9" s="752" t="s">
        <v>294</v>
      </c>
      <c r="V9" s="170" t="s">
        <v>295</v>
      </c>
      <c r="W9" s="171" t="s">
        <v>296</v>
      </c>
      <c r="X9" s="48" t="s">
        <v>297</v>
      </c>
      <c r="AE9" s="124" t="s">
        <v>300</v>
      </c>
      <c r="AF9" s="124" t="s">
        <v>301</v>
      </c>
      <c r="AH9" s="124" t="s">
        <v>303</v>
      </c>
      <c r="AJ9" s="124" t="s">
        <v>300</v>
      </c>
      <c r="AK9" s="124" t="s">
        <v>301</v>
      </c>
      <c r="AL9" s="101" t="s">
        <v>280</v>
      </c>
    </row>
    <row r="10" spans="2:38" ht="27.6" x14ac:dyDescent="0.25">
      <c r="B10" s="104">
        <v>1</v>
      </c>
      <c r="C10" s="842"/>
      <c r="D10" s="812" t="s">
        <v>177</v>
      </c>
      <c r="E10" s="860">
        <v>0.1</v>
      </c>
      <c r="F10" s="815" t="str">
        <f>IF(D10="","",VLOOKUP(D10,'G-6 Hedgerow Data'!$B$2:$AG$15,2,FALSE))</f>
        <v>Low</v>
      </c>
      <c r="G10" s="790">
        <f>IF(D10="","",VLOOKUP(D10,'G-6 Hedgerow Data'!$B$2:$AG$15,3,FALSE))</f>
        <v>2</v>
      </c>
      <c r="H10" s="841" t="s">
        <v>67</v>
      </c>
      <c r="I10" s="790">
        <f>IFERROR(VLOOKUP(H10,'G-1 All Habitats'!$Z$2:$AA$9,2,FALSE),"")</f>
        <v>2</v>
      </c>
      <c r="J10" s="841" t="s">
        <v>1034</v>
      </c>
      <c r="K10" s="367" t="str">
        <f>IF(J10="","",IF(VLOOKUP(J10,'G-3 Multipliers'!$L$3:$N$6,2,FALSE)=0,"Spatial Data Missing",VLOOKUP(J10,'G-3 Multipliers'!$L$3:$N$6,2,FALSE)))</f>
        <v>Low Strategic Significance</v>
      </c>
      <c r="L10" s="792">
        <f>IF(J10="","",IF(VLOOKUP(J10,'G-3 Multipliers'!$L$3:$N$6,3,FALSE)=0,"Spatial Data Missing ⚠",VLOOKUP(J10,'G-3 Multipliers'!$L$3:$N$6,3,FALSE)))</f>
        <v>1</v>
      </c>
      <c r="M10" s="793" t="str">
        <f>IF(D10="","",VLOOKUP(D10,'G-6 Hedgerow Data'!$B$1:$AH$15,33,FALSE))</f>
        <v>Same distinctiveness band or better</v>
      </c>
      <c r="N10" s="794">
        <f>IFERROR(E10*G10*I10*L10,"")</f>
        <v>0.4</v>
      </c>
      <c r="O10" s="32"/>
      <c r="P10" s="316">
        <v>0.1</v>
      </c>
      <c r="Q10" s="159"/>
      <c r="R10" s="374">
        <f>IFERROR(P10*G10*I10*L10,"")</f>
        <v>0.4</v>
      </c>
      <c r="S10" s="374">
        <f>IFERROR(Q10*G10*I10*L10,"")</f>
        <v>0</v>
      </c>
      <c r="T10" s="374">
        <f>IF(D10="","",IF(E10-P10-Q10=0&lt;0,"Error in lengths ▲",IF(P10+Q10&gt;E10,"Error in Lengths ▲",E10-P10-Q10)))</f>
        <v>0</v>
      </c>
      <c r="U10" s="405">
        <f>IF(OR(E10="",N10=""),"",IF(E10-P10-Q10=0&lt;0,"Error in Lengths ▲",IF(P10+Q10&gt;E10,"Error in Lengths ▲",N10-R10-S10)))</f>
        <v>0</v>
      </c>
      <c r="V10" s="136" t="s">
        <v>1707</v>
      </c>
      <c r="W10" s="137"/>
      <c r="X10" s="118"/>
      <c r="AE10" s="124" t="b">
        <f t="shared" ref="AE10:AE73" si="0">IF(D10="","",IF(P10&gt;0,TRUE,FALSE))</f>
        <v>1</v>
      </c>
      <c r="AF10" s="124" t="b">
        <f t="shared" ref="AF10:AF73" si="1">IF(D10="","",IF(Q10&gt;0,TRUE,FALSE))</f>
        <v>0</v>
      </c>
      <c r="AH10" s="124">
        <v>1</v>
      </c>
      <c r="AJ10" s="124">
        <f t="array" ref="AJ10">IFERROR(INDEX($AH$10:$AH$258, MATCH(0, IF(TRUE=$AE$10:$AE$258, COUNTIF($AJ9:$AJ$9, $AH$10:$AH$258), ""), 0)),"")</f>
        <v>1</v>
      </c>
      <c r="AK10" s="124" t="str">
        <f t="array" ref="AK10">IFERROR(INDEX($AH$10:$AH$258, MATCH(0, IF(TRUE=$AF$10:$AF$258, COUNTIF($AK9:$AK$9, $AH$10:$AH$258), ""), 0)),"")</f>
        <v/>
      </c>
      <c r="AL10" s="30" t="str">
        <f>IFERROR(INDEX('G-6 Hedgerow Data'!$BJ$3:$BJ$15,MATCH(D10,'G-6 Hedgerow Data'!$B$3:$B$15,0)),"")</f>
        <v>Hedgecond1</v>
      </c>
    </row>
    <row r="11" spans="2:38" ht="27.6" x14ac:dyDescent="0.25">
      <c r="B11" s="110">
        <v>2</v>
      </c>
      <c r="C11" s="165"/>
      <c r="D11" s="63" t="s">
        <v>177</v>
      </c>
      <c r="E11" s="139">
        <v>0.1</v>
      </c>
      <c r="F11" s="411" t="str">
        <f>IF(D11="","",VLOOKUP(D11,'G-6 Hedgerow Data'!$B$2:$AG$15,2,FALSE))</f>
        <v>Low</v>
      </c>
      <c r="G11" s="363">
        <f>IF(D11="","",VLOOKUP(D11,'G-6 Hedgerow Data'!$B$2:$AG$15,3,FALSE))</f>
        <v>2</v>
      </c>
      <c r="H11" s="114" t="s">
        <v>328</v>
      </c>
      <c r="I11" s="363">
        <f>IFERROR(VLOOKUP(H11,'G-1 All Habitats'!$Z$2:$AA$9,2,FALSE),"")</f>
        <v>1</v>
      </c>
      <c r="J11" s="114" t="s">
        <v>1034</v>
      </c>
      <c r="K11" s="370" t="str">
        <f>IF(J11="","",IF(VLOOKUP(J11,'G-3 Multipliers'!$L$3:$N$6,2,FALSE)=0,"Spatial Data Missing",VLOOKUP(J11,'G-3 Multipliers'!$L$3:$N$6,2,FALSE)))</f>
        <v>Low Strategic Significance</v>
      </c>
      <c r="L11" s="368">
        <f>IF(J11="","",IF(VLOOKUP(J11,'G-3 Multipliers'!$L$3:$N$6,3,FALSE)=0,"Spatial Data Missing ⚠",VLOOKUP(J11,'G-3 Multipliers'!$L$3:$N$6,3,FALSE)))</f>
        <v>1</v>
      </c>
      <c r="M11" s="369" t="str">
        <f>IF(D11="","",VLOOKUP(D11,'G-6 Hedgerow Data'!$B$1:$AH$15,33,FALSE))</f>
        <v>Same distinctiveness band or better</v>
      </c>
      <c r="N11" s="376">
        <f t="shared" ref="N11:N74" si="2">IFERROR(E11*G11*I11*L11,"")</f>
        <v>0.2</v>
      </c>
      <c r="O11" s="32"/>
      <c r="P11" s="582">
        <v>0.1</v>
      </c>
      <c r="Q11" s="165"/>
      <c r="R11" s="393">
        <f t="shared" ref="R11:R74" si="3">IFERROR(P11*G11*I11*L11,"")</f>
        <v>0.2</v>
      </c>
      <c r="S11" s="393">
        <f t="shared" ref="S11:S74" si="4">IFERROR(Q11*G11*I11*L11,"")</f>
        <v>0</v>
      </c>
      <c r="T11" s="393">
        <f t="shared" ref="T11:T74" si="5">IF(D11="","",IF(E11-P11-Q11=0&lt;0,"Error in lengths ▲",IF(P11+Q11&gt;E11,"Error in Lengths ▲",E11-P11-Q11)))</f>
        <v>0</v>
      </c>
      <c r="U11" s="415">
        <f t="shared" ref="U11:U74" si="6">IF(OR(E11="",N11=""),"",IF(E11-P11-Q11=0&lt;0,"Error in Lengths ▲",IF(P11+Q11&gt;E11,"Error in Lengths ▲",N11-R11-S11)))</f>
        <v>0</v>
      </c>
      <c r="V11" s="119" t="s">
        <v>1708</v>
      </c>
      <c r="W11" s="120"/>
      <c r="X11" s="120"/>
      <c r="AE11" s="124" t="b">
        <f t="shared" si="0"/>
        <v>1</v>
      </c>
      <c r="AF11" s="124" t="b">
        <f t="shared" si="1"/>
        <v>0</v>
      </c>
      <c r="AH11" s="124">
        <v>2</v>
      </c>
      <c r="AJ11" s="124">
        <f t="array" ref="AJ11">IFERROR(INDEX($AH$10:$AH$258, MATCH(0, IF(TRUE=$AE$10:$AE$258, COUNTIF($AJ$9:$AJ10, $AH$10:$AH$258), ""), 0)),"")</f>
        <v>2</v>
      </c>
      <c r="AK11" s="124" t="str">
        <f t="array" ref="AK11">IFERROR(INDEX($AH$10:$AH$258, MATCH(0, IF(TRUE=$AF$10:$AF$258, COUNTIF($AK$9:$AK10, $AH$10:$AH$258), ""), 0)),"")</f>
        <v/>
      </c>
      <c r="AL11" s="30" t="str">
        <f>IFERROR(INDEX('G-6 Hedgerow Data'!$BJ$3:$BJ$15,MATCH(D11,'G-6 Hedgerow Data'!$B$3:$B$15,0)),"")</f>
        <v>Hedgecond1</v>
      </c>
    </row>
    <row r="12" spans="2:38" ht="27.6" x14ac:dyDescent="0.25">
      <c r="B12" s="110">
        <v>3</v>
      </c>
      <c r="C12" s="165"/>
      <c r="D12" s="63" t="s">
        <v>176</v>
      </c>
      <c r="E12" s="139">
        <v>0.2</v>
      </c>
      <c r="F12" s="411" t="str">
        <f>IF(D12="","",VLOOKUP(D12,'G-6 Hedgerow Data'!$B$2:$AG$15,2,FALSE))</f>
        <v>Low</v>
      </c>
      <c r="G12" s="363">
        <f>IF(D12="","",VLOOKUP(D12,'G-6 Hedgerow Data'!$B$2:$AG$15,3,FALSE))</f>
        <v>2</v>
      </c>
      <c r="H12" s="114" t="s">
        <v>67</v>
      </c>
      <c r="I12" s="363">
        <f>IFERROR(VLOOKUP(H12,'G-1 All Habitats'!$Z$2:$AA$9,2,FALSE),"")</f>
        <v>2</v>
      </c>
      <c r="J12" s="114" t="s">
        <v>1034</v>
      </c>
      <c r="K12" s="370" t="str">
        <f>IF(J12="","",IF(VLOOKUP(J12,'G-3 Multipliers'!$L$3:$N$6,2,FALSE)=0,"Spatial Data Missing",VLOOKUP(J12,'G-3 Multipliers'!$L$3:$N$6,2,FALSE)))</f>
        <v>Low Strategic Significance</v>
      </c>
      <c r="L12" s="368">
        <f>IF(J12="","",IF(VLOOKUP(J12,'G-3 Multipliers'!$L$3:$N$6,3,FALSE)=0,"Spatial Data Missing ⚠",VLOOKUP(J12,'G-3 Multipliers'!$L$3:$N$6,3,FALSE)))</f>
        <v>1</v>
      </c>
      <c r="M12" s="369" t="str">
        <f>IF(D12="","",VLOOKUP(D12,'G-6 Hedgerow Data'!$B$1:$AH$15,33,FALSE))</f>
        <v>Same distinctiveness band or better</v>
      </c>
      <c r="N12" s="376">
        <f t="shared" si="2"/>
        <v>0.8</v>
      </c>
      <c r="O12" s="32"/>
      <c r="P12" s="582">
        <v>0.2</v>
      </c>
      <c r="Q12" s="165"/>
      <c r="R12" s="393">
        <f t="shared" si="3"/>
        <v>0.8</v>
      </c>
      <c r="S12" s="393">
        <f t="shared" si="4"/>
        <v>0</v>
      </c>
      <c r="T12" s="393">
        <f t="shared" si="5"/>
        <v>0</v>
      </c>
      <c r="U12" s="415">
        <f t="shared" si="6"/>
        <v>0</v>
      </c>
      <c r="V12" s="119"/>
      <c r="W12" s="120"/>
      <c r="X12" s="120"/>
      <c r="AE12" s="124" t="b">
        <f t="shared" si="0"/>
        <v>1</v>
      </c>
      <c r="AF12" s="124" t="b">
        <f t="shared" si="1"/>
        <v>0</v>
      </c>
      <c r="AH12" s="124">
        <v>3</v>
      </c>
      <c r="AJ12" s="124">
        <f t="array" ref="AJ12">IFERROR(INDEX($AH$10:$AH$258, MATCH(0, IF(TRUE=$AE$10:$AE$258, COUNTIF($AJ$9:$AJ11, $AH$10:$AH$258), ""), 0)),"")</f>
        <v>3</v>
      </c>
      <c r="AK12" s="124" t="str">
        <f t="array" ref="AK12">IFERROR(INDEX($AH$10:$AH$258, MATCH(0, IF(TRUE=$AF$10:$AF$258, COUNTIF($AK$9:$AK11, $AH$10:$AH$258), ""), 0)),"")</f>
        <v/>
      </c>
      <c r="AL12" s="30" t="str">
        <f>IFERROR(INDEX('G-6 Hedgerow Data'!$BJ$3:$BJ$15,MATCH(D12,'G-6 Hedgerow Data'!$B$3:$B$15,0)),"")</f>
        <v>Hedgecond1</v>
      </c>
    </row>
    <row r="13" spans="2:38" ht="27.6" x14ac:dyDescent="0.25">
      <c r="B13" s="110">
        <v>4</v>
      </c>
      <c r="C13" s="165"/>
      <c r="D13" s="63" t="s">
        <v>173</v>
      </c>
      <c r="E13" s="139">
        <v>0.48</v>
      </c>
      <c r="F13" s="411" t="str">
        <f>IF(D13="","",VLOOKUP(D13,'G-6 Hedgerow Data'!$B$2:$AG$15,2,FALSE))</f>
        <v>Medium</v>
      </c>
      <c r="G13" s="363">
        <f>IF(D13="","",VLOOKUP(D13,'G-6 Hedgerow Data'!$B$2:$AG$15,3,FALSE))</f>
        <v>4</v>
      </c>
      <c r="H13" s="114" t="s">
        <v>68</v>
      </c>
      <c r="I13" s="363">
        <f>IFERROR(VLOOKUP(H13,'G-1 All Habitats'!$Z$2:$AA$9,2,FALSE),"")</f>
        <v>3</v>
      </c>
      <c r="J13" s="114" t="s">
        <v>1034</v>
      </c>
      <c r="K13" s="370" t="str">
        <f>IF(J13="","",IF(VLOOKUP(J13,'G-3 Multipliers'!$L$3:$N$6,2,FALSE)=0,"Spatial Data Missing",VLOOKUP(J13,'G-3 Multipliers'!$L$3:$N$6,2,FALSE)))</f>
        <v>Low Strategic Significance</v>
      </c>
      <c r="L13" s="368">
        <f>IF(J13="","",IF(VLOOKUP(J13,'G-3 Multipliers'!$L$3:$N$6,3,FALSE)=0,"Spatial Data Missing ⚠",VLOOKUP(J13,'G-3 Multipliers'!$L$3:$N$6,3,FALSE)))</f>
        <v>1</v>
      </c>
      <c r="M13" s="369" t="str">
        <f>IF(D13="","",VLOOKUP(D13,'G-6 Hedgerow Data'!$B$1:$AH$15,33,FALSE))</f>
        <v>Same distinctiveness band or better</v>
      </c>
      <c r="N13" s="376">
        <f t="shared" si="2"/>
        <v>5.76</v>
      </c>
      <c r="O13" s="32"/>
      <c r="P13" s="582">
        <v>0.48</v>
      </c>
      <c r="Q13" s="165"/>
      <c r="R13" s="393">
        <f t="shared" si="3"/>
        <v>5.76</v>
      </c>
      <c r="S13" s="393">
        <f t="shared" si="4"/>
        <v>0</v>
      </c>
      <c r="T13" s="393">
        <f t="shared" si="5"/>
        <v>0</v>
      </c>
      <c r="U13" s="415">
        <f t="shared" si="6"/>
        <v>0</v>
      </c>
      <c r="V13" s="119"/>
      <c r="W13" s="120"/>
      <c r="X13" s="120"/>
      <c r="AE13" s="124" t="b">
        <f t="shared" si="0"/>
        <v>1</v>
      </c>
      <c r="AF13" s="124" t="b">
        <f t="shared" si="1"/>
        <v>0</v>
      </c>
      <c r="AH13" s="124">
        <v>4</v>
      </c>
      <c r="AJ13" s="124">
        <f t="array" ref="AJ13">IFERROR(INDEX($AH$10:$AH$258, MATCH(0, IF(TRUE=$AE$10:$AE$258, COUNTIF($AJ$9:$AJ12, $AH$10:$AH$258), ""), 0)),"")</f>
        <v>4</v>
      </c>
      <c r="AK13" s="124" t="str">
        <f t="array" ref="AK13">IFERROR(INDEX($AH$10:$AH$258, MATCH(0, IF(TRUE=$AF$10:$AF$258, COUNTIF($AK$9:$AK12, $AH$10:$AH$258), ""), 0)),"")</f>
        <v/>
      </c>
      <c r="AL13" s="30" t="str">
        <f>IFERROR(INDEX('G-6 Hedgerow Data'!$BJ$3:$BJ$15,MATCH(D13,'G-6 Hedgerow Data'!$B$3:$B$15,0)),"")</f>
        <v>Hedgecond1</v>
      </c>
    </row>
    <row r="14" spans="2:38" ht="27.6" x14ac:dyDescent="0.25">
      <c r="B14" s="110">
        <v>5</v>
      </c>
      <c r="C14" s="165"/>
      <c r="D14" s="159" t="s">
        <v>173</v>
      </c>
      <c r="E14" s="53">
        <v>1.06</v>
      </c>
      <c r="F14" s="411" t="str">
        <f>IF(D14="","",VLOOKUP(D14,'G-6 Hedgerow Data'!$B$2:$AG$15,2,FALSE))</f>
        <v>Medium</v>
      </c>
      <c r="G14" s="363">
        <f>IF(D14="","",VLOOKUP(D14,'G-6 Hedgerow Data'!$B$2:$AG$15,3,FALSE))</f>
        <v>4</v>
      </c>
      <c r="H14" s="114" t="s">
        <v>67</v>
      </c>
      <c r="I14" s="363">
        <f>IFERROR(VLOOKUP(H14,'G-1 All Habitats'!$Z$2:$AA$9,2,FALSE),"")</f>
        <v>2</v>
      </c>
      <c r="J14" s="114" t="s">
        <v>1034</v>
      </c>
      <c r="K14" s="370" t="str">
        <f>IF(J14="","",IF(VLOOKUP(J14,'G-3 Multipliers'!$L$3:$N$6,2,FALSE)=0,"Spatial Data Missing",VLOOKUP(J14,'G-3 Multipliers'!$L$3:$N$6,2,FALSE)))</f>
        <v>Low Strategic Significance</v>
      </c>
      <c r="L14" s="368">
        <f>IF(J14="","",IF(VLOOKUP(J14,'G-3 Multipliers'!$L$3:$N$6,3,FALSE)=0,"Spatial Data Missing ⚠",VLOOKUP(J14,'G-3 Multipliers'!$L$3:$N$6,3,FALSE)))</f>
        <v>1</v>
      </c>
      <c r="M14" s="369" t="str">
        <f>IF(D14="","",VLOOKUP(D14,'G-6 Hedgerow Data'!$B$1:$AH$15,33,FALSE))</f>
        <v>Same distinctiveness band or better</v>
      </c>
      <c r="N14" s="376">
        <f t="shared" si="2"/>
        <v>8.48</v>
      </c>
      <c r="O14" s="32"/>
      <c r="P14" s="582">
        <v>1.06</v>
      </c>
      <c r="Q14" s="165"/>
      <c r="R14" s="393">
        <f t="shared" si="3"/>
        <v>8.48</v>
      </c>
      <c r="S14" s="393">
        <f t="shared" si="4"/>
        <v>0</v>
      </c>
      <c r="T14" s="393">
        <f t="shared" si="5"/>
        <v>0</v>
      </c>
      <c r="U14" s="415">
        <f t="shared" si="6"/>
        <v>0</v>
      </c>
      <c r="V14" s="119"/>
      <c r="W14" s="120"/>
      <c r="X14" s="120"/>
      <c r="AE14" s="124" t="b">
        <f t="shared" si="0"/>
        <v>1</v>
      </c>
      <c r="AF14" s="124" t="b">
        <f t="shared" si="1"/>
        <v>0</v>
      </c>
      <c r="AH14" s="124">
        <v>5</v>
      </c>
      <c r="AJ14" s="124">
        <f t="array" ref="AJ14">IFERROR(INDEX($AH$10:$AH$258, MATCH(0, IF(TRUE=$AE$10:$AE$258, COUNTIF($AJ$9:$AJ13, $AH$10:$AH$258), ""), 0)),"")</f>
        <v>5</v>
      </c>
      <c r="AK14" s="124" t="str">
        <f t="array" ref="AK14">IFERROR(INDEX($AH$10:$AH$258, MATCH(0, IF(TRUE=$AF$10:$AF$258, COUNTIF($AK$9:$AK13, $AH$10:$AH$258), ""), 0)),"")</f>
        <v/>
      </c>
      <c r="AL14" s="30" t="str">
        <f>IFERROR(INDEX('G-6 Hedgerow Data'!$BJ$3:$BJ$15,MATCH(D14,'G-6 Hedgerow Data'!$B$3:$B$15,0)),"")</f>
        <v>Hedgecond1</v>
      </c>
    </row>
    <row r="15" spans="2:38" ht="27.6" x14ac:dyDescent="0.25">
      <c r="B15" s="110">
        <v>6</v>
      </c>
      <c r="C15" s="165"/>
      <c r="D15" s="159" t="s">
        <v>179</v>
      </c>
      <c r="E15" s="53">
        <v>0.6</v>
      </c>
      <c r="F15" s="411" t="str">
        <f>IF(D15="","",VLOOKUP(D15,'G-6 Hedgerow Data'!$B$2:$AG$15,2,FALSE))</f>
        <v>V.Low</v>
      </c>
      <c r="G15" s="363">
        <f>IF(D15="","",VLOOKUP(D15,'G-6 Hedgerow Data'!$B$2:$AG$15,3,FALSE))</f>
        <v>1</v>
      </c>
      <c r="H15" s="114" t="s">
        <v>328</v>
      </c>
      <c r="I15" s="363">
        <f>IFERROR(VLOOKUP(H15,'G-1 All Habitats'!$Z$2:$AA$9,2,FALSE),"")</f>
        <v>1</v>
      </c>
      <c r="J15" s="114" t="s">
        <v>1034</v>
      </c>
      <c r="K15" s="370" t="str">
        <f>IF(J15="","",IF(VLOOKUP(J15,'G-3 Multipliers'!$L$3:$N$6,2,FALSE)=0,"Spatial Data Missing",VLOOKUP(J15,'G-3 Multipliers'!$L$3:$N$6,2,FALSE)))</f>
        <v>Low Strategic Significance</v>
      </c>
      <c r="L15" s="368">
        <f>IF(J15="","",IF(VLOOKUP(J15,'G-3 Multipliers'!$L$3:$N$6,3,FALSE)=0,"Spatial Data Missing ⚠",VLOOKUP(J15,'G-3 Multipliers'!$L$3:$N$6,3,FALSE)))</f>
        <v>1</v>
      </c>
      <c r="M15" s="369" t="str">
        <f>IF(D15="","",VLOOKUP(D15,'G-6 Hedgerow Data'!$B$1:$AH$15,33,FALSE))</f>
        <v>Same distinctiveness band or better</v>
      </c>
      <c r="N15" s="376">
        <f t="shared" si="2"/>
        <v>0.6</v>
      </c>
      <c r="O15" s="32"/>
      <c r="P15" s="582">
        <v>0.6</v>
      </c>
      <c r="Q15" s="165"/>
      <c r="R15" s="393">
        <f t="shared" si="3"/>
        <v>0.6</v>
      </c>
      <c r="S15" s="393">
        <f t="shared" si="4"/>
        <v>0</v>
      </c>
      <c r="T15" s="393">
        <f t="shared" si="5"/>
        <v>0</v>
      </c>
      <c r="U15" s="415">
        <f t="shared" si="6"/>
        <v>0</v>
      </c>
      <c r="V15" s="119" t="s">
        <v>1722</v>
      </c>
      <c r="W15" s="120"/>
      <c r="X15" s="120"/>
      <c r="AE15" s="124" t="b">
        <f t="shared" si="0"/>
        <v>1</v>
      </c>
      <c r="AF15" s="124" t="b">
        <f t="shared" si="1"/>
        <v>0</v>
      </c>
      <c r="AH15" s="124">
        <v>6</v>
      </c>
      <c r="AJ15" s="124">
        <f t="array" ref="AJ15">IFERROR(INDEX($AH$10:$AH$258, MATCH(0, IF(TRUE=$AE$10:$AE$258, COUNTIF($AJ$9:$AJ14, $AH$10:$AH$258), ""), 0)),"")</f>
        <v>6</v>
      </c>
      <c r="AK15" s="124" t="str">
        <f t="array" ref="AK15">IFERROR(INDEX($AH$10:$AH$258, MATCH(0, IF(TRUE=$AF$10:$AF$258, COUNTIF($AK$9:$AK14, $AH$10:$AH$258), ""), 0)),"")</f>
        <v/>
      </c>
      <c r="AL15" s="30" t="str">
        <f>IFERROR(INDEX('G-6 Hedgerow Data'!$BJ$3:$BJ$15,MATCH(D15,'G-6 Hedgerow Data'!$B$3:$B$15,0)),"")</f>
        <v>Hedgecond2</v>
      </c>
    </row>
    <row r="16" spans="2:38" x14ac:dyDescent="0.25">
      <c r="B16" s="110">
        <v>7</v>
      </c>
      <c r="C16" s="165"/>
      <c r="D16" s="159"/>
      <c r="E16" s="53"/>
      <c r="F16" s="411" t="str">
        <f>IF(D16="","",VLOOKUP(D16,'G-6 Hedgerow Data'!$B$2:$AG$15,2,FALSE))</f>
        <v/>
      </c>
      <c r="G16" s="363" t="str">
        <f>IF(D16="","",VLOOKUP(D16,'G-6 Hedgerow Data'!$B$2:$AG$15,3,FALSE))</f>
        <v/>
      </c>
      <c r="H16" s="114"/>
      <c r="I16" s="363" t="str">
        <f>IFERROR(VLOOKUP(H16,'G-1 All Habitats'!$Z$2:$AA$9,2,FALSE),"")</f>
        <v/>
      </c>
      <c r="J16" s="114"/>
      <c r="K16" s="370" t="str">
        <f>IF(J16="","",IF(VLOOKUP(J16,'G-3 Multipliers'!$L$3:$N$6,2,FALSE)=0,"Spatial Data Missing",VLOOKUP(J16,'G-3 Multipliers'!$L$3:$N$6,2,FALSE)))</f>
        <v/>
      </c>
      <c r="L16" s="368" t="str">
        <f>IF(J16="","",IF(VLOOKUP(J16,'G-3 Multipliers'!$L$3:$N$6,3,FALSE)=0,"Spatial Data Missing ⚠",VLOOKUP(J16,'G-3 Multipliers'!$L$3:$N$6,3,FALSE)))</f>
        <v/>
      </c>
      <c r="M16" s="369" t="str">
        <f>IF(D16="","",VLOOKUP(D16,'G-6 Hedgerow Data'!$B$1:$AH$15,33,FALSE))</f>
        <v/>
      </c>
      <c r="N16" s="376" t="str">
        <f t="shared" si="2"/>
        <v/>
      </c>
      <c r="O16" s="32"/>
      <c r="P16" s="582"/>
      <c r="Q16" s="165"/>
      <c r="R16" s="393" t="str">
        <f t="shared" si="3"/>
        <v/>
      </c>
      <c r="S16" s="393" t="str">
        <f t="shared" si="4"/>
        <v/>
      </c>
      <c r="T16" s="393" t="str">
        <f t="shared" si="5"/>
        <v/>
      </c>
      <c r="U16" s="415" t="str">
        <f t="shared" si="6"/>
        <v/>
      </c>
      <c r="V16" s="119"/>
      <c r="W16" s="120"/>
      <c r="X16" s="120"/>
      <c r="AE16" s="124" t="str">
        <f t="shared" si="0"/>
        <v/>
      </c>
      <c r="AF16" s="124" t="str">
        <f t="shared" si="1"/>
        <v/>
      </c>
      <c r="AH16" s="124">
        <v>7</v>
      </c>
      <c r="AJ16" s="124" t="str">
        <f t="array" ref="AJ16">IFERROR(INDEX($AH$10:$AH$258, MATCH(0, IF(TRUE=$AE$10:$AE$258, COUNTIF($AJ$9:$AJ15, $AH$10:$AH$258), ""), 0)),"")</f>
        <v/>
      </c>
      <c r="AK16" s="124" t="str">
        <f t="array" ref="AK16">IFERROR(INDEX($AH$10:$AH$258, MATCH(0, IF(TRUE=$AF$10:$AF$258, COUNTIF($AK$9:$AK15, $AH$10:$AH$258), ""), 0)),"")</f>
        <v/>
      </c>
      <c r="AL16" s="30" t="str">
        <f>IFERROR(INDEX('G-6 Hedgerow Data'!$BJ$3:$BJ$15,MATCH(D16,'G-6 Hedgerow Data'!$B$3:$B$15,0)),"")</f>
        <v/>
      </c>
    </row>
    <row r="17" spans="2:38" x14ac:dyDescent="0.25">
      <c r="B17" s="110">
        <v>8</v>
      </c>
      <c r="C17" s="165"/>
      <c r="D17" s="159"/>
      <c r="E17" s="53"/>
      <c r="F17" s="411" t="str">
        <f>IF(D17="","",VLOOKUP(D17,'G-6 Hedgerow Data'!$B$2:$AG$15,2,FALSE))</f>
        <v/>
      </c>
      <c r="G17" s="363" t="str">
        <f>IF(D17="","",VLOOKUP(D17,'G-6 Hedgerow Data'!$B$2:$AG$15,3,FALSE))</f>
        <v/>
      </c>
      <c r="H17" s="114"/>
      <c r="I17" s="363" t="str">
        <f>IFERROR(VLOOKUP(H17,'G-1 All Habitats'!$Z$2:$AA$9,2,FALSE),"")</f>
        <v/>
      </c>
      <c r="J17" s="114"/>
      <c r="K17" s="370" t="str">
        <f>IF(J17="","",IF(VLOOKUP(J17,'G-3 Multipliers'!$L$3:$N$6,2,FALSE)=0,"Spatial Data Missing",VLOOKUP(J17,'G-3 Multipliers'!$L$3:$N$6,2,FALSE)))</f>
        <v/>
      </c>
      <c r="L17" s="368" t="str">
        <f>IF(J17="","",IF(VLOOKUP(J17,'G-3 Multipliers'!$L$3:$N$6,3,FALSE)=0,"Spatial Data Missing ⚠",VLOOKUP(J17,'G-3 Multipliers'!$L$3:$N$6,3,FALSE)))</f>
        <v/>
      </c>
      <c r="M17" s="369" t="str">
        <f>IF(D17="","",VLOOKUP(D17,'G-6 Hedgerow Data'!$B$1:$AH$15,33,FALSE))</f>
        <v/>
      </c>
      <c r="N17" s="376" t="str">
        <f t="shared" si="2"/>
        <v/>
      </c>
      <c r="O17" s="32"/>
      <c r="P17" s="582"/>
      <c r="Q17" s="165"/>
      <c r="R17" s="393" t="str">
        <f t="shared" si="3"/>
        <v/>
      </c>
      <c r="S17" s="393" t="str">
        <f t="shared" si="4"/>
        <v/>
      </c>
      <c r="T17" s="393" t="str">
        <f t="shared" si="5"/>
        <v/>
      </c>
      <c r="U17" s="415" t="str">
        <f t="shared" si="6"/>
        <v/>
      </c>
      <c r="V17" s="119"/>
      <c r="W17" s="120"/>
      <c r="X17" s="120"/>
      <c r="AE17" s="124" t="str">
        <f t="shared" si="0"/>
        <v/>
      </c>
      <c r="AF17" s="124" t="str">
        <f t="shared" si="1"/>
        <v/>
      </c>
      <c r="AH17" s="124">
        <v>8</v>
      </c>
      <c r="AJ17" s="124" t="str">
        <f t="array" ref="AJ17">IFERROR(INDEX($AH$10:$AH$258, MATCH(0, IF(TRUE=$AE$10:$AE$258, COUNTIF($AJ$9:$AJ16, $AH$10:$AH$258), ""), 0)),"")</f>
        <v/>
      </c>
      <c r="AK17" s="124" t="str">
        <f t="array" ref="AK17">IFERROR(INDEX($AH$10:$AH$258, MATCH(0, IF(TRUE=$AF$10:$AF$258, COUNTIF($AK$9:$AK16, $AH$10:$AH$258), ""), 0)),"")</f>
        <v/>
      </c>
      <c r="AL17" s="30" t="str">
        <f>IFERROR(INDEX('G-6 Hedgerow Data'!$BJ$3:$BJ$15,MATCH(D17,'G-6 Hedgerow Data'!$B$3:$B$15,0)),"")</f>
        <v/>
      </c>
    </row>
    <row r="18" spans="2:38" x14ac:dyDescent="0.25">
      <c r="B18" s="110">
        <v>9</v>
      </c>
      <c r="C18" s="165"/>
      <c r="D18" s="159"/>
      <c r="E18" s="139"/>
      <c r="F18" s="411" t="str">
        <f>IF(D18="","",VLOOKUP(D18,'G-6 Hedgerow Data'!$B$2:$AG$15,2,FALSE))</f>
        <v/>
      </c>
      <c r="G18" s="363" t="str">
        <f>IF(D18="","",VLOOKUP(D18,'G-6 Hedgerow Data'!$B$2:$AG$15,3,FALSE))</f>
        <v/>
      </c>
      <c r="H18" s="114"/>
      <c r="I18" s="363" t="str">
        <f>IFERROR(VLOOKUP(H18,'G-1 All Habitats'!$Z$2:$AA$9,2,FALSE),"")</f>
        <v/>
      </c>
      <c r="J18" s="114"/>
      <c r="K18" s="370" t="str">
        <f>IF(J18="","",IF(VLOOKUP(J18,'G-3 Multipliers'!$L$3:$N$6,2,FALSE)=0,"Spatial Data Missing",VLOOKUP(J18,'G-3 Multipliers'!$L$3:$N$6,2,FALSE)))</f>
        <v/>
      </c>
      <c r="L18" s="368" t="str">
        <f>IF(J18="","",IF(VLOOKUP(J18,'G-3 Multipliers'!$L$3:$N$6,3,FALSE)=0,"Spatial Data Missing ⚠",VLOOKUP(J18,'G-3 Multipliers'!$L$3:$N$6,3,FALSE)))</f>
        <v/>
      </c>
      <c r="M18" s="369" t="str">
        <f>IF(D18="","",VLOOKUP(D18,'G-6 Hedgerow Data'!$B$1:$AH$15,33,FALSE))</f>
        <v/>
      </c>
      <c r="N18" s="376" t="str">
        <f t="shared" si="2"/>
        <v/>
      </c>
      <c r="O18" s="32"/>
      <c r="P18" s="582"/>
      <c r="Q18" s="165"/>
      <c r="R18" s="393" t="str">
        <f t="shared" si="3"/>
        <v/>
      </c>
      <c r="S18" s="393" t="str">
        <f t="shared" si="4"/>
        <v/>
      </c>
      <c r="T18" s="393" t="str">
        <f t="shared" si="5"/>
        <v/>
      </c>
      <c r="U18" s="415" t="str">
        <f t="shared" si="6"/>
        <v/>
      </c>
      <c r="V18" s="119"/>
      <c r="W18" s="120"/>
      <c r="X18" s="120"/>
      <c r="AE18" s="124" t="str">
        <f t="shared" si="0"/>
        <v/>
      </c>
      <c r="AF18" s="124" t="str">
        <f t="shared" si="1"/>
        <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
      </c>
    </row>
    <row r="19" spans="2:38" x14ac:dyDescent="0.25">
      <c r="B19" s="110">
        <v>10</v>
      </c>
      <c r="C19" s="165"/>
      <c r="D19" s="159"/>
      <c r="E19" s="139"/>
      <c r="F19" s="411" t="str">
        <f>IF(D19="","",VLOOKUP(D19,'G-6 Hedgerow Data'!$B$2:$AG$15,2,FALSE))</f>
        <v/>
      </c>
      <c r="G19" s="363" t="str">
        <f>IF(D19="","",VLOOKUP(D19,'G-6 Hedgerow Data'!$B$2:$AG$15,3,FALSE))</f>
        <v/>
      </c>
      <c r="H19" s="114"/>
      <c r="I19" s="363" t="str">
        <f>IFERROR(VLOOKUP(H19,'G-1 All Habitats'!$Z$2:$AA$9,2,FALSE),"")</f>
        <v/>
      </c>
      <c r="J19" s="114"/>
      <c r="K19" s="370" t="str">
        <f>IF(J19="","",IF(VLOOKUP(J19,'G-3 Multipliers'!$L$3:$N$6,2,FALSE)=0,"Spatial Data Missing",VLOOKUP(J19,'G-3 Multipliers'!$L$3:$N$6,2,FALSE)))</f>
        <v/>
      </c>
      <c r="L19" s="368" t="str">
        <f>IF(J19="","",IF(VLOOKUP(J19,'G-3 Multipliers'!$L$3:$N$6,3,FALSE)=0,"Spatial Data Missing ⚠",VLOOKUP(J19,'G-3 Multipliers'!$L$3:$N$6,3,FALSE)))</f>
        <v/>
      </c>
      <c r="M19" s="369" t="str">
        <f>IF(D19="","",VLOOKUP(D19,'G-6 Hedgerow Data'!$B$1:$AH$15,33,FALSE))</f>
        <v/>
      </c>
      <c r="N19" s="376" t="str">
        <f t="shared" si="2"/>
        <v/>
      </c>
      <c r="O19" s="32"/>
      <c r="P19" s="582"/>
      <c r="Q19" s="165"/>
      <c r="R19" s="393" t="str">
        <f t="shared" si="3"/>
        <v/>
      </c>
      <c r="S19" s="393" t="str">
        <f t="shared" si="4"/>
        <v/>
      </c>
      <c r="T19" s="393" t="str">
        <f t="shared" si="5"/>
        <v/>
      </c>
      <c r="U19" s="415" t="str">
        <f t="shared" si="6"/>
        <v/>
      </c>
      <c r="V19" s="119"/>
      <c r="W19" s="120"/>
      <c r="X19" s="120"/>
      <c r="AE19" s="124" t="str">
        <f t="shared" si="0"/>
        <v/>
      </c>
      <c r="AF19" s="124" t="str">
        <f t="shared" si="1"/>
        <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
      </c>
    </row>
    <row r="20" spans="2:38" x14ac:dyDescent="0.25">
      <c r="B20" s="110">
        <v>11</v>
      </c>
      <c r="C20" s="165"/>
      <c r="D20" s="159"/>
      <c r="E20" s="139"/>
      <c r="F20" s="411" t="str">
        <f>IF(D20="","",VLOOKUP(D20,'G-6 Hedgerow Data'!$B$2:$AG$15,2,FALSE))</f>
        <v/>
      </c>
      <c r="G20" s="363" t="str">
        <f>IF(D20="","",VLOOKUP(D20,'G-6 Hedgerow Data'!$B$2:$AG$15,3,FALSE))</f>
        <v/>
      </c>
      <c r="H20" s="114"/>
      <c r="I20" s="363" t="str">
        <f>IFERROR(VLOOKUP(H20,'G-1 All Habitats'!$Z$2:$AA$9,2,FALSE),"")</f>
        <v/>
      </c>
      <c r="J20" s="114"/>
      <c r="K20" s="370" t="str">
        <f>IF(J20="","",IF(VLOOKUP(J20,'G-3 Multipliers'!$L$3:$N$6,2,FALSE)=0,"Spatial Data Missing",VLOOKUP(J20,'G-3 Multipliers'!$L$3:$N$6,2,FALSE)))</f>
        <v/>
      </c>
      <c r="L20" s="368" t="str">
        <f>IF(J20="","",IF(VLOOKUP(J20,'G-3 Multipliers'!$L$3:$N$6,3,FALSE)=0,"Spatial Data Missing ⚠",VLOOKUP(J20,'G-3 Multipliers'!$L$3:$N$6,3,FALSE)))</f>
        <v/>
      </c>
      <c r="M20" s="369" t="str">
        <f>IF(D20="","",VLOOKUP(D20,'G-6 Hedgerow Data'!$B$1:$AH$15,33,FALSE))</f>
        <v/>
      </c>
      <c r="N20" s="376" t="str">
        <f t="shared" si="2"/>
        <v/>
      </c>
      <c r="O20" s="32"/>
      <c r="P20" s="582"/>
      <c r="Q20" s="165"/>
      <c r="R20" s="393" t="str">
        <f t="shared" si="3"/>
        <v/>
      </c>
      <c r="S20" s="393" t="str">
        <f t="shared" si="4"/>
        <v/>
      </c>
      <c r="T20" s="393" t="str">
        <f t="shared" si="5"/>
        <v/>
      </c>
      <c r="U20" s="415" t="str">
        <f t="shared" si="6"/>
        <v/>
      </c>
      <c r="V20" s="119"/>
      <c r="W20" s="120"/>
      <c r="X20" s="120"/>
      <c r="AE20" s="124" t="str">
        <f t="shared" si="0"/>
        <v/>
      </c>
      <c r="AF20" s="124" t="str">
        <f t="shared" si="1"/>
        <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
      </c>
    </row>
    <row r="21" spans="2:38" x14ac:dyDescent="0.25">
      <c r="B21" s="110">
        <v>12</v>
      </c>
      <c r="C21" s="165"/>
      <c r="D21" s="159"/>
      <c r="E21" s="139"/>
      <c r="F21" s="411" t="str">
        <f>IF(D21="","",VLOOKUP(D21,'G-6 Hedgerow Data'!$B$2:$AG$15,2,FALSE))</f>
        <v/>
      </c>
      <c r="G21" s="363" t="str">
        <f>IF(D21="","",VLOOKUP(D21,'G-6 Hedgerow Data'!$B$2:$AG$15,3,FALSE))</f>
        <v/>
      </c>
      <c r="H21" s="114"/>
      <c r="I21" s="363" t="str">
        <f>IFERROR(VLOOKUP(H21,'G-1 All Habitats'!$Z$2:$AA$9,2,FALSE),"")</f>
        <v/>
      </c>
      <c r="J21" s="114"/>
      <c r="K21" s="370" t="str">
        <f>IF(J21="","",IF(VLOOKUP(J21,'G-3 Multipliers'!$L$3:$N$6,2,FALSE)=0,"Spatial Data Missing",VLOOKUP(J21,'G-3 Multipliers'!$L$3:$N$6,2,FALSE)))</f>
        <v/>
      </c>
      <c r="L21" s="368" t="str">
        <f>IF(J21="","",IF(VLOOKUP(J21,'G-3 Multipliers'!$L$3:$N$6,3,FALSE)=0,"Spatial Data Missing ⚠",VLOOKUP(J21,'G-3 Multipliers'!$L$3:$N$6,3,FALSE)))</f>
        <v/>
      </c>
      <c r="M21" s="369" t="str">
        <f>IF(D21="","",VLOOKUP(D21,'G-6 Hedgerow Data'!$B$1:$AH$15,33,FALSE))</f>
        <v/>
      </c>
      <c r="N21" s="376" t="str">
        <f t="shared" si="2"/>
        <v/>
      </c>
      <c r="O21" s="32"/>
      <c r="P21" s="582"/>
      <c r="Q21" s="165"/>
      <c r="R21" s="393" t="str">
        <f t="shared" si="3"/>
        <v/>
      </c>
      <c r="S21" s="393" t="str">
        <f t="shared" si="4"/>
        <v/>
      </c>
      <c r="T21" s="393" t="str">
        <f t="shared" si="5"/>
        <v/>
      </c>
      <c r="U21" s="415" t="str">
        <f t="shared" si="6"/>
        <v/>
      </c>
      <c r="V21" s="119"/>
      <c r="W21" s="120"/>
      <c r="X21" s="120"/>
      <c r="AE21" s="124" t="str">
        <f t="shared" si="0"/>
        <v/>
      </c>
      <c r="AF21" s="124" t="str">
        <f t="shared" si="1"/>
        <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
      </c>
    </row>
    <row r="22" spans="2:38" x14ac:dyDescent="0.25">
      <c r="B22" s="110">
        <v>13</v>
      </c>
      <c r="C22" s="165"/>
      <c r="D22" s="159"/>
      <c r="E22" s="139"/>
      <c r="F22" s="411" t="str">
        <f>IF(D22="","",VLOOKUP(D22,'G-6 Hedgerow Data'!$B$2:$AG$15,2,FALSE))</f>
        <v/>
      </c>
      <c r="G22" s="363" t="str">
        <f>IF(D22="","",VLOOKUP(D22,'G-6 Hedgerow Data'!$B$2:$AG$15,3,FALSE))</f>
        <v/>
      </c>
      <c r="H22" s="114"/>
      <c r="I22" s="363" t="str">
        <f>IFERROR(VLOOKUP(H22,'G-1 All Habitats'!$Z$2:$AA$9,2,FALSE),"")</f>
        <v/>
      </c>
      <c r="J22" s="114"/>
      <c r="K22" s="370" t="str">
        <f>IF(J22="","",IF(VLOOKUP(J22,'G-3 Multipliers'!$L$3:$N$6,2,FALSE)=0,"Spatial Data Missing",VLOOKUP(J22,'G-3 Multipliers'!$L$3:$N$6,2,FALSE)))</f>
        <v/>
      </c>
      <c r="L22" s="368" t="str">
        <f>IF(J22="","",IF(VLOOKUP(J22,'G-3 Multipliers'!$L$3:$N$6,3,FALSE)=0,"Spatial Data Missing ⚠",VLOOKUP(J22,'G-3 Multipliers'!$L$3:$N$6,3,FALSE)))</f>
        <v/>
      </c>
      <c r="M22" s="369" t="str">
        <f>IF(D22="","",VLOOKUP(D22,'G-6 Hedgerow Data'!$B$1:$AH$15,33,FALSE))</f>
        <v/>
      </c>
      <c r="N22" s="376" t="str">
        <f t="shared" si="2"/>
        <v/>
      </c>
      <c r="O22" s="32"/>
      <c r="P22" s="582"/>
      <c r="Q22" s="165"/>
      <c r="R22" s="393" t="str">
        <f t="shared" si="3"/>
        <v/>
      </c>
      <c r="S22" s="393" t="str">
        <f t="shared" si="4"/>
        <v/>
      </c>
      <c r="T22" s="393" t="str">
        <f t="shared" si="5"/>
        <v/>
      </c>
      <c r="U22" s="415" t="str">
        <f t="shared" si="6"/>
        <v/>
      </c>
      <c r="V22" s="119"/>
      <c r="W22" s="120"/>
      <c r="X22" s="120"/>
      <c r="AE22" s="124" t="str">
        <f t="shared" si="0"/>
        <v/>
      </c>
      <c r="AF22" s="124" t="str">
        <f t="shared" si="1"/>
        <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
      </c>
    </row>
    <row r="23" spans="2:38" x14ac:dyDescent="0.25">
      <c r="B23" s="110">
        <v>14</v>
      </c>
      <c r="C23" s="165"/>
      <c r="D23" s="63"/>
      <c r="E23" s="139"/>
      <c r="F23" s="411" t="str">
        <f>IF(D23="","",VLOOKUP(D23,'G-6 Hedgerow Data'!$B$2:$AG$15,2,FALSE))</f>
        <v/>
      </c>
      <c r="G23" s="363" t="str">
        <f>IF(D23="","",VLOOKUP(D23,'G-6 Hedgerow Data'!$B$2:$AG$15,3,FALSE))</f>
        <v/>
      </c>
      <c r="H23" s="114"/>
      <c r="I23" s="363" t="str">
        <f>IFERROR(VLOOKUP(H23,'G-1 All Habitats'!$Z$2:$AA$9,2,FALSE),"")</f>
        <v/>
      </c>
      <c r="J23" s="114"/>
      <c r="K23" s="370" t="str">
        <f>IF(J23="","",IF(VLOOKUP(J23,'G-3 Multipliers'!$L$3:$N$6,2,FALSE)=0,"Spatial Data Missing",VLOOKUP(J23,'G-3 Multipliers'!$L$3:$N$6,2,FALSE)))</f>
        <v/>
      </c>
      <c r="L23" s="368" t="str">
        <f>IF(J23="","",IF(VLOOKUP(J23,'G-3 Multipliers'!$L$3:$N$6,3,FALSE)=0,"Spatial Data Missing ⚠",VLOOKUP(J23,'G-3 Multipliers'!$L$3:$N$6,3,FALSE)))</f>
        <v/>
      </c>
      <c r="M23" s="369" t="str">
        <f>IF(D23="","",VLOOKUP(D23,'G-6 Hedgerow Data'!$B$1:$AH$15,33,FALSE))</f>
        <v/>
      </c>
      <c r="N23" s="376" t="str">
        <f t="shared" si="2"/>
        <v/>
      </c>
      <c r="O23" s="32"/>
      <c r="P23" s="582"/>
      <c r="Q23" s="165"/>
      <c r="R23" s="393" t="str">
        <f t="shared" si="3"/>
        <v/>
      </c>
      <c r="S23" s="393" t="str">
        <f t="shared" si="4"/>
        <v/>
      </c>
      <c r="T23" s="393" t="str">
        <f t="shared" si="5"/>
        <v/>
      </c>
      <c r="U23" s="415" t="str">
        <f t="shared" si="6"/>
        <v/>
      </c>
      <c r="V23" s="119"/>
      <c r="W23" s="120"/>
      <c r="X23" s="120"/>
      <c r="AE23" s="124" t="str">
        <f t="shared" si="0"/>
        <v/>
      </c>
      <c r="AF23" s="124" t="str">
        <f t="shared" si="1"/>
        <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
      </c>
    </row>
    <row r="24" spans="2:38" x14ac:dyDescent="0.25">
      <c r="B24" s="110">
        <v>15</v>
      </c>
      <c r="C24" s="165"/>
      <c r="D24" s="63"/>
      <c r="E24" s="139"/>
      <c r="F24" s="411" t="str">
        <f>IF(D24="","",VLOOKUP(D24,'G-6 Hedgerow Data'!$B$2:$AG$15,2,FALSE))</f>
        <v/>
      </c>
      <c r="G24" s="363" t="str">
        <f>IF(D24="","",VLOOKUP(D24,'G-6 Hedgerow Data'!$B$2:$AG$15,3,FALSE))</f>
        <v/>
      </c>
      <c r="H24" s="114"/>
      <c r="I24" s="363" t="str">
        <f>IFERROR(VLOOKUP(H24,'G-1 All Habitats'!$Z$2:$AA$9,2,FALSE),"")</f>
        <v/>
      </c>
      <c r="J24" s="114"/>
      <c r="K24" s="370" t="str">
        <f>IF(J24="","",IF(VLOOKUP(J24,'G-3 Multipliers'!$L$3:$N$6,2,FALSE)=0,"Spatial Data Missing",VLOOKUP(J24,'G-3 Multipliers'!$L$3:$N$6,2,FALSE)))</f>
        <v/>
      </c>
      <c r="L24" s="368" t="str">
        <f>IF(J24="","",IF(VLOOKUP(J24,'G-3 Multipliers'!$L$3:$N$6,3,FALSE)=0,"Spatial Data Missing ⚠",VLOOKUP(J24,'G-3 Multipliers'!$L$3:$N$6,3,FALSE)))</f>
        <v/>
      </c>
      <c r="M24" s="369" t="str">
        <f>IF(D24="","",VLOOKUP(D24,'G-6 Hedgerow Data'!$B$1:$AH$15,33,FALSE))</f>
        <v/>
      </c>
      <c r="N24" s="376" t="str">
        <f t="shared" si="2"/>
        <v/>
      </c>
      <c r="O24" s="32"/>
      <c r="P24" s="582"/>
      <c r="Q24" s="165"/>
      <c r="R24" s="393" t="str">
        <f t="shared" si="3"/>
        <v/>
      </c>
      <c r="S24" s="393" t="str">
        <f t="shared" si="4"/>
        <v/>
      </c>
      <c r="T24" s="393" t="str">
        <f t="shared" si="5"/>
        <v/>
      </c>
      <c r="U24" s="415" t="str">
        <f t="shared" si="6"/>
        <v/>
      </c>
      <c r="V24" s="119"/>
      <c r="W24" s="120"/>
      <c r="X24" s="120"/>
      <c r="AE24" s="124" t="str">
        <f t="shared" si="0"/>
        <v/>
      </c>
      <c r="AF24" s="124" t="str">
        <f t="shared" si="1"/>
        <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
      </c>
    </row>
    <row r="25" spans="2:38" x14ac:dyDescent="0.25">
      <c r="B25" s="110">
        <v>16</v>
      </c>
      <c r="C25" s="165"/>
      <c r="D25" s="63"/>
      <c r="E25" s="139"/>
      <c r="F25" s="411" t="str">
        <f>IF(D25="","",VLOOKUP(D25,'G-6 Hedgerow Data'!$B$2:$AG$15,2,FALSE))</f>
        <v/>
      </c>
      <c r="G25" s="363" t="str">
        <f>IF(D25="","",VLOOKUP(D25,'G-6 Hedgerow Data'!$B$2:$AG$15,3,FALSE))</f>
        <v/>
      </c>
      <c r="H25" s="114"/>
      <c r="I25" s="363" t="str">
        <f>IFERROR(VLOOKUP(H25,'G-1 All Habitats'!$Z$2:$AA$9,2,FALSE),"")</f>
        <v/>
      </c>
      <c r="J25" s="114"/>
      <c r="K25" s="370" t="str">
        <f>IF(J25="","",IF(VLOOKUP(J25,'G-3 Multipliers'!$L$3:$N$6,2,FALSE)=0,"Spatial Data Missing",VLOOKUP(J25,'G-3 Multipliers'!$L$3:$N$6,2,FALSE)))</f>
        <v/>
      </c>
      <c r="L25" s="368" t="str">
        <f>IF(J25="","",IF(VLOOKUP(J25,'G-3 Multipliers'!$L$3:$N$6,3,FALSE)=0,"Spatial Data Missing ⚠",VLOOKUP(J25,'G-3 Multipliers'!$L$3:$N$6,3,FALSE)))</f>
        <v/>
      </c>
      <c r="M25" s="369" t="str">
        <f>IF(D25="","",VLOOKUP(D25,'G-6 Hedgerow Data'!$B$1:$AH$15,33,FALSE))</f>
        <v/>
      </c>
      <c r="N25" s="376" t="str">
        <f t="shared" si="2"/>
        <v/>
      </c>
      <c r="O25" s="32"/>
      <c r="P25" s="582"/>
      <c r="Q25" s="165"/>
      <c r="R25" s="393" t="str">
        <f t="shared" si="3"/>
        <v/>
      </c>
      <c r="S25" s="393" t="str">
        <f t="shared" si="4"/>
        <v/>
      </c>
      <c r="T25" s="393" t="str">
        <f t="shared" si="5"/>
        <v/>
      </c>
      <c r="U25" s="415" t="str">
        <f t="shared" si="6"/>
        <v/>
      </c>
      <c r="V25" s="119"/>
      <c r="W25" s="120"/>
      <c r="X25" s="120"/>
      <c r="AE25" s="124" t="str">
        <f t="shared" si="0"/>
        <v/>
      </c>
      <c r="AF25" s="124" t="str">
        <f t="shared" si="1"/>
        <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
      </c>
    </row>
    <row r="26" spans="2:38" x14ac:dyDescent="0.25">
      <c r="B26" s="110">
        <v>17</v>
      </c>
      <c r="C26" s="165"/>
      <c r="D26" s="63"/>
      <c r="E26" s="139"/>
      <c r="F26" s="411" t="str">
        <f>IF(D26="","",VLOOKUP(D26,'G-6 Hedgerow Data'!$B$2:$AG$15,2,FALSE))</f>
        <v/>
      </c>
      <c r="G26" s="363" t="str">
        <f>IF(D26="","",VLOOKUP(D26,'G-6 Hedgerow Data'!$B$2:$AG$15,3,FALSE))</f>
        <v/>
      </c>
      <c r="H26" s="114"/>
      <c r="I26" s="363" t="str">
        <f>IFERROR(VLOOKUP(H26,'G-1 All Habitats'!$Z$2:$AA$9,2,FALSE),"")</f>
        <v/>
      </c>
      <c r="J26" s="114"/>
      <c r="K26" s="370" t="str">
        <f>IF(J26="","",IF(VLOOKUP(J26,'G-3 Multipliers'!$L$3:$N$6,2,FALSE)=0,"Spatial Data Missing",VLOOKUP(J26,'G-3 Multipliers'!$L$3:$N$6,2,FALSE)))</f>
        <v/>
      </c>
      <c r="L26" s="368" t="str">
        <f>IF(J26="","",IF(VLOOKUP(J26,'G-3 Multipliers'!$L$3:$N$6,3,FALSE)=0,"Spatial Data Missing ⚠",VLOOKUP(J26,'G-3 Multipliers'!$L$3:$N$6,3,FALSE)))</f>
        <v/>
      </c>
      <c r="M26" s="369" t="str">
        <f>IF(D26="","",VLOOKUP(D26,'G-6 Hedgerow Data'!$B$1:$AH$15,33,FALSE))</f>
        <v/>
      </c>
      <c r="N26" s="376" t="str">
        <f t="shared" si="2"/>
        <v/>
      </c>
      <c r="O26" s="32"/>
      <c r="P26" s="582"/>
      <c r="Q26" s="165"/>
      <c r="R26" s="393" t="str">
        <f t="shared" si="3"/>
        <v/>
      </c>
      <c r="S26" s="393" t="str">
        <f t="shared" si="4"/>
        <v/>
      </c>
      <c r="T26" s="393" t="str">
        <f t="shared" si="5"/>
        <v/>
      </c>
      <c r="U26" s="415" t="str">
        <f t="shared" si="6"/>
        <v/>
      </c>
      <c r="V26" s="119"/>
      <c r="W26" s="120"/>
      <c r="X26" s="120"/>
      <c r="AE26" s="124" t="str">
        <f t="shared" si="0"/>
        <v/>
      </c>
      <c r="AF26" s="124" t="str">
        <f t="shared" si="1"/>
        <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
      </c>
    </row>
    <row r="27" spans="2:38" x14ac:dyDescent="0.25">
      <c r="B27" s="110">
        <v>18</v>
      </c>
      <c r="C27" s="165"/>
      <c r="D27" s="159"/>
      <c r="E27" s="139"/>
      <c r="F27" s="411" t="str">
        <f>IF(D27="","",VLOOKUP(D27,'G-6 Hedgerow Data'!$B$2:$AG$15,2,FALSE))</f>
        <v/>
      </c>
      <c r="G27" s="363" t="str">
        <f>IF(D27="","",VLOOKUP(D27,'G-6 Hedgerow Data'!$B$2:$AG$15,3,FALSE))</f>
        <v/>
      </c>
      <c r="H27" s="114"/>
      <c r="I27" s="363" t="str">
        <f>IFERROR(VLOOKUP(H27,'G-1 All Habitats'!$Z$2:$AA$9,2,FALSE),"")</f>
        <v/>
      </c>
      <c r="J27" s="114"/>
      <c r="K27" s="370" t="str">
        <f>IF(J27="","",IF(VLOOKUP(J27,'G-3 Multipliers'!$L$3:$N$6,2,FALSE)=0,"Spatial Data Missing",VLOOKUP(J27,'G-3 Multipliers'!$L$3:$N$6,2,FALSE)))</f>
        <v/>
      </c>
      <c r="L27" s="368" t="str">
        <f>IF(J27="","",IF(VLOOKUP(J27,'G-3 Multipliers'!$L$3:$N$6,3,FALSE)=0,"Spatial Data Missing ⚠",VLOOKUP(J27,'G-3 Multipliers'!$L$3:$N$6,3,FALSE)))</f>
        <v/>
      </c>
      <c r="M27" s="369" t="str">
        <f>IF(D27="","",VLOOKUP(D27,'G-6 Hedgerow Data'!$B$1:$AH$15,33,FALSE))</f>
        <v/>
      </c>
      <c r="N27" s="376" t="str">
        <f t="shared" si="2"/>
        <v/>
      </c>
      <c r="O27" s="32"/>
      <c r="P27" s="582"/>
      <c r="Q27" s="165"/>
      <c r="R27" s="393" t="str">
        <f t="shared" si="3"/>
        <v/>
      </c>
      <c r="S27" s="393" t="str">
        <f t="shared" si="4"/>
        <v/>
      </c>
      <c r="T27" s="393" t="str">
        <f t="shared" si="5"/>
        <v/>
      </c>
      <c r="U27" s="415" t="str">
        <f t="shared" si="6"/>
        <v/>
      </c>
      <c r="V27" s="119"/>
      <c r="W27" s="120"/>
      <c r="X27" s="120"/>
      <c r="AE27" s="124" t="str">
        <f t="shared" si="0"/>
        <v/>
      </c>
      <c r="AF27" s="124" t="str">
        <f t="shared" si="1"/>
        <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
      </c>
    </row>
    <row r="28" spans="2:38" x14ac:dyDescent="0.25">
      <c r="B28" s="110">
        <v>19</v>
      </c>
      <c r="C28" s="165"/>
      <c r="D28" s="159"/>
      <c r="E28" s="139"/>
      <c r="F28" s="411" t="str">
        <f>IF(D28="","",VLOOKUP(D28,'G-6 Hedgerow Data'!$B$2:$AG$15,2,FALSE))</f>
        <v/>
      </c>
      <c r="G28" s="363" t="str">
        <f>IF(D28="","",VLOOKUP(D28,'G-6 Hedgerow Data'!$B$2:$AG$15,3,FALSE))</f>
        <v/>
      </c>
      <c r="H28" s="114"/>
      <c r="I28" s="363" t="str">
        <f>IFERROR(VLOOKUP(H28,'G-1 All Habitats'!$Z$2:$AA$9,2,FALSE),"")</f>
        <v/>
      </c>
      <c r="J28" s="114"/>
      <c r="K28" s="370" t="str">
        <f>IF(J28="","",IF(VLOOKUP(J28,'G-3 Multipliers'!$L$3:$N$6,2,FALSE)=0,"Spatial Data Missing",VLOOKUP(J28,'G-3 Multipliers'!$L$3:$N$6,2,FALSE)))</f>
        <v/>
      </c>
      <c r="L28" s="368" t="str">
        <f>IF(J28="","",IF(VLOOKUP(J28,'G-3 Multipliers'!$L$3:$N$6,3,FALSE)=0,"Spatial Data Missing ⚠",VLOOKUP(J28,'G-3 Multipliers'!$L$3:$N$6,3,FALSE)))</f>
        <v/>
      </c>
      <c r="M28" s="369" t="str">
        <f>IF(D28="","",VLOOKUP(D28,'G-6 Hedgerow Data'!$B$1:$AH$15,33,FALSE))</f>
        <v/>
      </c>
      <c r="N28" s="376" t="str">
        <f t="shared" si="2"/>
        <v/>
      </c>
      <c r="O28" s="32"/>
      <c r="P28" s="582"/>
      <c r="Q28" s="165"/>
      <c r="R28" s="393" t="str">
        <f t="shared" si="3"/>
        <v/>
      </c>
      <c r="S28" s="393" t="str">
        <f t="shared" si="4"/>
        <v/>
      </c>
      <c r="T28" s="393" t="str">
        <f t="shared" si="5"/>
        <v/>
      </c>
      <c r="U28" s="415" t="str">
        <f t="shared" si="6"/>
        <v/>
      </c>
      <c r="V28" s="119"/>
      <c r="W28" s="120"/>
      <c r="X28" s="120"/>
      <c r="AE28" s="124" t="str">
        <f t="shared" si="0"/>
        <v/>
      </c>
      <c r="AF28" s="124" t="str">
        <f t="shared" si="1"/>
        <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
      </c>
    </row>
    <row r="29" spans="2:38" x14ac:dyDescent="0.25">
      <c r="B29" s="110">
        <v>20</v>
      </c>
      <c r="C29" s="165"/>
      <c r="D29" s="159"/>
      <c r="E29" s="139"/>
      <c r="F29" s="411" t="str">
        <f>IF(D29="","",VLOOKUP(D29,'G-6 Hedgerow Data'!$B$2:$AG$15,2,FALSE))</f>
        <v/>
      </c>
      <c r="G29" s="363" t="str">
        <f>IF(D29="","",VLOOKUP(D29,'G-6 Hedgerow Data'!$B$2:$AG$15,3,FALSE))</f>
        <v/>
      </c>
      <c r="H29" s="114"/>
      <c r="I29" s="363" t="str">
        <f>IFERROR(VLOOKUP(H29,'G-1 All Habitats'!$Z$2:$AA$9,2,FALSE),"")</f>
        <v/>
      </c>
      <c r="J29" s="114"/>
      <c r="K29" s="370" t="str">
        <f>IF(J29="","",IF(VLOOKUP(J29,'G-3 Multipliers'!$L$3:$N$6,2,FALSE)=0,"Spatial Data Missing",VLOOKUP(J29,'G-3 Multipliers'!$L$3:$N$6,2,FALSE)))</f>
        <v/>
      </c>
      <c r="L29" s="368" t="str">
        <f>IF(J29="","",IF(VLOOKUP(J29,'G-3 Multipliers'!$L$3:$N$6,3,FALSE)=0,"Spatial Data Missing ⚠",VLOOKUP(J29,'G-3 Multipliers'!$L$3:$N$6,3,FALSE)))</f>
        <v/>
      </c>
      <c r="M29" s="369" t="str">
        <f>IF(D29="","",VLOOKUP(D29,'G-6 Hedgerow Data'!$B$1:$AH$15,33,FALSE))</f>
        <v/>
      </c>
      <c r="N29" s="376" t="str">
        <f t="shared" si="2"/>
        <v/>
      </c>
      <c r="O29" s="32"/>
      <c r="P29" s="582"/>
      <c r="Q29" s="165"/>
      <c r="R29" s="393" t="str">
        <f t="shared" si="3"/>
        <v/>
      </c>
      <c r="S29" s="393" t="str">
        <f t="shared" si="4"/>
        <v/>
      </c>
      <c r="T29" s="393" t="str">
        <f t="shared" si="5"/>
        <v/>
      </c>
      <c r="U29" s="415" t="str">
        <f t="shared" si="6"/>
        <v/>
      </c>
      <c r="V29" s="119"/>
      <c r="W29" s="120"/>
      <c r="X29" s="120"/>
      <c r="AE29" s="124" t="str">
        <f t="shared" si="0"/>
        <v/>
      </c>
      <c r="AF29" s="124" t="str">
        <f t="shared" si="1"/>
        <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
      </c>
    </row>
    <row r="30" spans="2:38" x14ac:dyDescent="0.25">
      <c r="B30" s="110">
        <v>21</v>
      </c>
      <c r="C30" s="165"/>
      <c r="D30" s="159"/>
      <c r="E30" s="139"/>
      <c r="F30" s="411" t="str">
        <f>IF(D30="","",VLOOKUP(D30,'G-6 Hedgerow Data'!$B$2:$AG$15,2,FALSE))</f>
        <v/>
      </c>
      <c r="G30" s="363" t="str">
        <f>IF(D30="","",VLOOKUP(D30,'G-6 Hedgerow Data'!$B$2:$AG$15,3,FALSE))</f>
        <v/>
      </c>
      <c r="H30" s="114"/>
      <c r="I30" s="363" t="str">
        <f>IFERROR(VLOOKUP(H30,'G-1 All Habitats'!$Z$2:$AA$9,2,FALSE),"")</f>
        <v/>
      </c>
      <c r="J30" s="114"/>
      <c r="K30" s="370" t="str">
        <f>IF(J30="","",IF(VLOOKUP(J30,'G-3 Multipliers'!$L$3:$N$6,2,FALSE)=0,"Spatial Data Missing",VLOOKUP(J30,'G-3 Multipliers'!$L$3:$N$6,2,FALSE)))</f>
        <v/>
      </c>
      <c r="L30" s="368" t="str">
        <f>IF(J30="","",IF(VLOOKUP(J30,'G-3 Multipliers'!$L$3:$N$6,3,FALSE)=0,"Spatial Data Missing ⚠",VLOOKUP(J30,'G-3 Multipliers'!$L$3:$N$6,3,FALSE)))</f>
        <v/>
      </c>
      <c r="M30" s="369" t="str">
        <f>IF(D30="","",VLOOKUP(D30,'G-6 Hedgerow Data'!$B$1:$AH$15,33,FALSE))</f>
        <v/>
      </c>
      <c r="N30" s="376" t="str">
        <f t="shared" si="2"/>
        <v/>
      </c>
      <c r="O30" s="32"/>
      <c r="P30" s="582"/>
      <c r="Q30" s="165"/>
      <c r="R30" s="393" t="str">
        <f t="shared" si="3"/>
        <v/>
      </c>
      <c r="S30" s="393" t="str">
        <f t="shared" si="4"/>
        <v/>
      </c>
      <c r="T30" s="393" t="str">
        <f t="shared" si="5"/>
        <v/>
      </c>
      <c r="U30" s="415" t="str">
        <f t="shared" si="6"/>
        <v/>
      </c>
      <c r="V30" s="119"/>
      <c r="W30" s="120"/>
      <c r="X30" s="120"/>
      <c r="AE30" s="124" t="str">
        <f t="shared" si="0"/>
        <v/>
      </c>
      <c r="AF30" s="124" t="str">
        <f t="shared" si="1"/>
        <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
      </c>
    </row>
    <row r="31" spans="2:38" x14ac:dyDescent="0.25">
      <c r="B31" s="110">
        <v>22</v>
      </c>
      <c r="C31" s="165"/>
      <c r="D31" s="159"/>
      <c r="E31" s="53"/>
      <c r="F31" s="411" t="str">
        <f>IF(D31="","",VLOOKUP(D31,'G-6 Hedgerow Data'!$B$2:$AG$15,2,FALSE))</f>
        <v/>
      </c>
      <c r="G31" s="363" t="str">
        <f>IF(D31="","",VLOOKUP(D31,'G-6 Hedgerow Data'!$B$2:$AG$15,3,FALSE))</f>
        <v/>
      </c>
      <c r="H31" s="114"/>
      <c r="I31" s="363" t="str">
        <f>IFERROR(VLOOKUP(H31,'G-1 All Habitats'!$Z$2:$AA$9,2,FALSE),"")</f>
        <v/>
      </c>
      <c r="J31" s="114"/>
      <c r="K31" s="370" t="str">
        <f>IF(J31="","",IF(VLOOKUP(J31,'G-3 Multipliers'!$L$3:$N$6,2,FALSE)=0,"Spatial Data Missing",VLOOKUP(J31,'G-3 Multipliers'!$L$3:$N$6,2,FALSE)))</f>
        <v/>
      </c>
      <c r="L31" s="368" t="str">
        <f>IF(J31="","",IF(VLOOKUP(J31,'G-3 Multipliers'!$L$3:$N$6,3,FALSE)=0,"Spatial Data Missing ⚠",VLOOKUP(J31,'G-3 Multipliers'!$L$3:$N$6,3,FALSE)))</f>
        <v/>
      </c>
      <c r="M31" s="369" t="str">
        <f>IF(D31="","",VLOOKUP(D31,'G-6 Hedgerow Data'!$B$1:$AH$15,33,FALSE))</f>
        <v/>
      </c>
      <c r="N31" s="376" t="str">
        <f t="shared" si="2"/>
        <v/>
      </c>
      <c r="O31" s="32"/>
      <c r="P31" s="582"/>
      <c r="Q31" s="165"/>
      <c r="R31" s="393" t="str">
        <f t="shared" si="3"/>
        <v/>
      </c>
      <c r="S31" s="393" t="str">
        <f t="shared" si="4"/>
        <v/>
      </c>
      <c r="T31" s="393" t="str">
        <f t="shared" si="5"/>
        <v/>
      </c>
      <c r="U31" s="415" t="str">
        <f t="shared" si="6"/>
        <v/>
      </c>
      <c r="V31" s="119"/>
      <c r="W31" s="120"/>
      <c r="X31" s="120"/>
      <c r="AE31" s="124" t="str">
        <f t="shared" si="0"/>
        <v/>
      </c>
      <c r="AF31" s="124" t="str">
        <f t="shared" si="1"/>
        <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
      </c>
    </row>
    <row r="32" spans="2:38" x14ac:dyDescent="0.25">
      <c r="B32" s="110">
        <v>23</v>
      </c>
      <c r="C32" s="165"/>
      <c r="D32" s="159"/>
      <c r="E32" s="53"/>
      <c r="F32" s="411" t="str">
        <f>IF(D32="","",VLOOKUP(D32,'G-6 Hedgerow Data'!$B$2:$AG$15,2,FALSE))</f>
        <v/>
      </c>
      <c r="G32" s="363" t="str">
        <f>IF(D32="","",VLOOKUP(D32,'G-6 Hedgerow Data'!$B$2:$AG$15,3,FALSE))</f>
        <v/>
      </c>
      <c r="H32" s="114"/>
      <c r="I32" s="363" t="str">
        <f>IFERROR(VLOOKUP(H32,'G-1 All Habitats'!$Z$2:$AA$9,2,FALSE),"")</f>
        <v/>
      </c>
      <c r="J32" s="114"/>
      <c r="K32" s="370" t="str">
        <f>IF(J32="","",IF(VLOOKUP(J32,'G-3 Multipliers'!$L$3:$N$6,2,FALSE)=0,"Spatial Data Missing",VLOOKUP(J32,'G-3 Multipliers'!$L$3:$N$6,2,FALSE)))</f>
        <v/>
      </c>
      <c r="L32" s="368" t="str">
        <f>IF(J32="","",IF(VLOOKUP(J32,'G-3 Multipliers'!$L$3:$N$6,3,FALSE)=0,"Spatial Data Missing ⚠",VLOOKUP(J32,'G-3 Multipliers'!$L$3:$N$6,3,FALSE)))</f>
        <v/>
      </c>
      <c r="M32" s="369" t="str">
        <f>IF(D32="","",VLOOKUP(D32,'G-6 Hedgerow Data'!$B$1:$AH$15,33,FALSE))</f>
        <v/>
      </c>
      <c r="N32" s="376" t="str">
        <f t="shared" si="2"/>
        <v/>
      </c>
      <c r="O32" s="32"/>
      <c r="P32" s="582"/>
      <c r="Q32" s="165"/>
      <c r="R32" s="393" t="str">
        <f t="shared" si="3"/>
        <v/>
      </c>
      <c r="S32" s="393" t="str">
        <f t="shared" si="4"/>
        <v/>
      </c>
      <c r="T32" s="393" t="str">
        <f t="shared" si="5"/>
        <v/>
      </c>
      <c r="U32" s="415" t="str">
        <f t="shared" si="6"/>
        <v/>
      </c>
      <c r="V32" s="119"/>
      <c r="W32" s="120"/>
      <c r="X32" s="120"/>
      <c r="AE32" s="124" t="str">
        <f t="shared" si="0"/>
        <v/>
      </c>
      <c r="AF32" s="124" t="str">
        <f t="shared" si="1"/>
        <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
      </c>
    </row>
    <row r="33" spans="2:38" x14ac:dyDescent="0.25">
      <c r="B33" s="110">
        <v>24</v>
      </c>
      <c r="C33" s="165"/>
      <c r="D33" s="159"/>
      <c r="E33" s="53"/>
      <c r="F33" s="411" t="str">
        <f>IF(D33="","",VLOOKUP(D33,'G-6 Hedgerow Data'!$B$2:$AG$15,2,FALSE))</f>
        <v/>
      </c>
      <c r="G33" s="363" t="str">
        <f>IF(D33="","",VLOOKUP(D33,'G-6 Hedgerow Data'!$B$2:$AG$15,3,FALSE))</f>
        <v/>
      </c>
      <c r="H33" s="114"/>
      <c r="I33" s="363" t="str">
        <f>IFERROR(VLOOKUP(H33,'G-1 All Habitats'!$Z$2:$AA$9,2,FALSE),"")</f>
        <v/>
      </c>
      <c r="J33" s="114"/>
      <c r="K33" s="370" t="str">
        <f>IF(J33="","",IF(VLOOKUP(J33,'G-3 Multipliers'!$L$3:$N$6,2,FALSE)=0,"Spatial Data Missing",VLOOKUP(J33,'G-3 Multipliers'!$L$3:$N$6,2,FALSE)))</f>
        <v/>
      </c>
      <c r="L33" s="368" t="str">
        <f>IF(J33="","",IF(VLOOKUP(J33,'G-3 Multipliers'!$L$3:$N$6,3,FALSE)=0,"Spatial Data Missing ⚠",VLOOKUP(J33,'G-3 Multipliers'!$L$3:$N$6,3,FALSE)))</f>
        <v/>
      </c>
      <c r="M33" s="369" t="str">
        <f>IF(D33="","",VLOOKUP(D33,'G-6 Hedgerow Data'!$B$1:$AH$15,33,FALSE))</f>
        <v/>
      </c>
      <c r="N33" s="376" t="str">
        <f t="shared" si="2"/>
        <v/>
      </c>
      <c r="O33" s="32"/>
      <c r="P33" s="582"/>
      <c r="Q33" s="165"/>
      <c r="R33" s="393" t="str">
        <f t="shared" si="3"/>
        <v/>
      </c>
      <c r="S33" s="393" t="str">
        <f t="shared" si="4"/>
        <v/>
      </c>
      <c r="T33" s="393" t="str">
        <f t="shared" si="5"/>
        <v/>
      </c>
      <c r="U33" s="415" t="str">
        <f t="shared" si="6"/>
        <v/>
      </c>
      <c r="V33" s="119"/>
      <c r="W33" s="120"/>
      <c r="X33" s="120"/>
      <c r="AE33" s="124" t="str">
        <f t="shared" si="0"/>
        <v/>
      </c>
      <c r="AF33" s="124" t="str">
        <f t="shared" si="1"/>
        <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
      </c>
    </row>
    <row r="34" spans="2:38" x14ac:dyDescent="0.25">
      <c r="B34" s="110">
        <v>25</v>
      </c>
      <c r="C34" s="165"/>
      <c r="D34" s="159"/>
      <c r="E34" s="53"/>
      <c r="F34" s="411" t="str">
        <f>IF(D34="","",VLOOKUP(D34,'G-6 Hedgerow Data'!$B$2:$AG$15,2,FALSE))</f>
        <v/>
      </c>
      <c r="G34" s="363" t="str">
        <f>IF(D34="","",VLOOKUP(D34,'G-6 Hedgerow Data'!$B$2:$AG$15,3,FALSE))</f>
        <v/>
      </c>
      <c r="H34" s="114"/>
      <c r="I34" s="363" t="str">
        <f>IFERROR(VLOOKUP(H34,'G-1 All Habitats'!$Z$2:$AA$9,2,FALSE),"")</f>
        <v/>
      </c>
      <c r="J34" s="114"/>
      <c r="K34" s="370" t="str">
        <f>IF(J34="","",IF(VLOOKUP(J34,'G-3 Multipliers'!$L$3:$N$6,2,FALSE)=0,"Spatial Data Missing",VLOOKUP(J34,'G-3 Multipliers'!$L$3:$N$6,2,FALSE)))</f>
        <v/>
      </c>
      <c r="L34" s="368" t="str">
        <f>IF(J34="","",IF(VLOOKUP(J34,'G-3 Multipliers'!$L$3:$N$6,3,FALSE)=0,"Spatial Data Missing ⚠",VLOOKUP(J34,'G-3 Multipliers'!$L$3:$N$6,3,FALSE)))</f>
        <v/>
      </c>
      <c r="M34" s="369" t="str">
        <f>IF(D34="","",VLOOKUP(D34,'G-6 Hedgerow Data'!$B$1:$AH$15,33,FALSE))</f>
        <v/>
      </c>
      <c r="N34" s="376" t="str">
        <f t="shared" si="2"/>
        <v/>
      </c>
      <c r="O34" s="32"/>
      <c r="P34" s="582"/>
      <c r="Q34" s="165"/>
      <c r="R34" s="393" t="str">
        <f t="shared" si="3"/>
        <v/>
      </c>
      <c r="S34" s="393" t="str">
        <f t="shared" si="4"/>
        <v/>
      </c>
      <c r="T34" s="393" t="str">
        <f t="shared" si="5"/>
        <v/>
      </c>
      <c r="U34" s="415" t="str">
        <f t="shared" si="6"/>
        <v/>
      </c>
      <c r="V34" s="119"/>
      <c r="W34" s="120"/>
      <c r="X34" s="120"/>
      <c r="AE34" s="124" t="str">
        <f t="shared" si="0"/>
        <v/>
      </c>
      <c r="AF34" s="124" t="str">
        <f t="shared" si="1"/>
        <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
      </c>
    </row>
    <row r="35" spans="2:38" x14ac:dyDescent="0.25">
      <c r="B35" s="110">
        <v>26</v>
      </c>
      <c r="C35" s="165"/>
      <c r="D35" s="159"/>
      <c r="E35" s="139"/>
      <c r="F35" s="411" t="str">
        <f>IF(D35="","",VLOOKUP(D35,'G-6 Hedgerow Data'!$B$2:$AG$15,2,FALSE))</f>
        <v/>
      </c>
      <c r="G35" s="363" t="str">
        <f>IF(D35="","",VLOOKUP(D35,'G-6 Hedgerow Data'!$B$2:$AG$15,3,FALSE))</f>
        <v/>
      </c>
      <c r="H35" s="114"/>
      <c r="I35" s="363" t="str">
        <f>IFERROR(VLOOKUP(H35,'G-1 All Habitats'!$Z$2:$AA$9,2,FALSE),"")</f>
        <v/>
      </c>
      <c r="J35" s="114"/>
      <c r="K35" s="370" t="str">
        <f>IF(J35="","",IF(VLOOKUP(J35,'G-3 Multipliers'!$L$3:$N$6,2,FALSE)=0,"Spatial Data Missing",VLOOKUP(J35,'G-3 Multipliers'!$L$3:$N$6,2,FALSE)))</f>
        <v/>
      </c>
      <c r="L35" s="368" t="str">
        <f>IF(J35="","",IF(VLOOKUP(J35,'G-3 Multipliers'!$L$3:$N$6,3,FALSE)=0,"Spatial Data Missing ⚠",VLOOKUP(J35,'G-3 Multipliers'!$L$3:$N$6,3,FALSE)))</f>
        <v/>
      </c>
      <c r="M35" s="369" t="str">
        <f>IF(D35="","",VLOOKUP(D35,'G-6 Hedgerow Data'!$B$1:$AH$15,33,FALSE))</f>
        <v/>
      </c>
      <c r="N35" s="376" t="str">
        <f t="shared" si="2"/>
        <v/>
      </c>
      <c r="O35" s="32"/>
      <c r="P35" s="582"/>
      <c r="Q35" s="165"/>
      <c r="R35" s="393" t="str">
        <f t="shared" si="3"/>
        <v/>
      </c>
      <c r="S35" s="393" t="str">
        <f t="shared" si="4"/>
        <v/>
      </c>
      <c r="T35" s="393" t="str">
        <f t="shared" si="5"/>
        <v/>
      </c>
      <c r="U35" s="415" t="str">
        <f t="shared" si="6"/>
        <v/>
      </c>
      <c r="V35" s="119"/>
      <c r="W35" s="120"/>
      <c r="X35" s="120"/>
      <c r="AE35" s="124" t="str">
        <f t="shared" si="0"/>
        <v/>
      </c>
      <c r="AF35" s="124" t="str">
        <f t="shared" si="1"/>
        <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
      </c>
    </row>
    <row r="36" spans="2:38" x14ac:dyDescent="0.25">
      <c r="B36" s="110">
        <v>27</v>
      </c>
      <c r="C36" s="165"/>
      <c r="D36" s="165"/>
      <c r="E36" s="139"/>
      <c r="F36" s="411" t="str">
        <f>IF(D36="","",VLOOKUP(D36,'G-6 Hedgerow Data'!$B$2:$AG$15,2,FALSE))</f>
        <v/>
      </c>
      <c r="G36" s="363" t="str">
        <f>IF(D36="","",VLOOKUP(D36,'G-6 Hedgerow Data'!$B$2:$AG$15,3,FALSE))</f>
        <v/>
      </c>
      <c r="H36" s="114"/>
      <c r="I36" s="363" t="str">
        <f>IFERROR(VLOOKUP(H36,'G-1 All Habitats'!$Z$2:$AA$9,2,FALSE),"")</f>
        <v/>
      </c>
      <c r="J36" s="114"/>
      <c r="K36" s="370" t="str">
        <f>IF(J36="","",IF(VLOOKUP(J36,'G-3 Multipliers'!$L$3:$N$6,2,FALSE)=0,"Spatial Data Missing",VLOOKUP(J36,'G-3 Multipliers'!$L$3:$N$6,2,FALSE)))</f>
        <v/>
      </c>
      <c r="L36" s="368" t="str">
        <f>IF(J36="","",IF(VLOOKUP(J36,'G-3 Multipliers'!$L$3:$N$6,3,FALSE)=0,"Spatial Data Missing ⚠",VLOOKUP(J36,'G-3 Multipliers'!$L$3:$N$6,3,FALSE)))</f>
        <v/>
      </c>
      <c r="M36" s="369" t="str">
        <f>IF(D36="","",VLOOKUP(D36,'G-6 Hedgerow Data'!$B$1:$AH$15,33,FALSE))</f>
        <v/>
      </c>
      <c r="N36" s="376" t="str">
        <f t="shared" si="2"/>
        <v/>
      </c>
      <c r="O36" s="32"/>
      <c r="P36" s="582"/>
      <c r="Q36" s="165"/>
      <c r="R36" s="393" t="str">
        <f t="shared" si="3"/>
        <v/>
      </c>
      <c r="S36" s="393" t="str">
        <f t="shared" si="4"/>
        <v/>
      </c>
      <c r="T36" s="393" t="str">
        <f t="shared" si="5"/>
        <v/>
      </c>
      <c r="U36" s="415" t="str">
        <f t="shared" si="6"/>
        <v/>
      </c>
      <c r="V36" s="119"/>
      <c r="W36" s="120"/>
      <c r="X36" s="120"/>
      <c r="AE36" s="124" t="str">
        <f t="shared" si="0"/>
        <v/>
      </c>
      <c r="AF36" s="124" t="str">
        <f t="shared" si="1"/>
        <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
      </c>
    </row>
    <row r="37" spans="2:38" x14ac:dyDescent="0.25">
      <c r="B37" s="110">
        <v>28</v>
      </c>
      <c r="C37" s="165"/>
      <c r="D37" s="165"/>
      <c r="E37" s="139"/>
      <c r="F37" s="411" t="str">
        <f>IF(D37="","",VLOOKUP(D37,'G-6 Hedgerow Data'!$B$2:$AG$15,2,FALSE))</f>
        <v/>
      </c>
      <c r="G37" s="363" t="str">
        <f>IF(D37="","",VLOOKUP(D37,'G-6 Hedgerow Data'!$B$2:$AG$15,3,FALSE))</f>
        <v/>
      </c>
      <c r="H37" s="114"/>
      <c r="I37" s="363" t="str">
        <f>IFERROR(VLOOKUP(H37,'G-1 All Habitats'!$Z$2:$AA$9,2,FALSE),"")</f>
        <v/>
      </c>
      <c r="J37" s="114"/>
      <c r="K37" s="370" t="str">
        <f>IF(J37="","",IF(VLOOKUP(J37,'G-3 Multipliers'!$L$3:$N$6,2,FALSE)=0,"Spatial Data Missing",VLOOKUP(J37,'G-3 Multipliers'!$L$3:$N$6,2,FALSE)))</f>
        <v/>
      </c>
      <c r="L37" s="368" t="str">
        <f>IF(J37="","",IF(VLOOKUP(J37,'G-3 Multipliers'!$L$3:$N$6,3,FALSE)=0,"Spatial Data Missing ⚠",VLOOKUP(J37,'G-3 Multipliers'!$L$3:$N$6,3,FALSE)))</f>
        <v/>
      </c>
      <c r="M37" s="369" t="str">
        <f>IF(D37="","",VLOOKUP(D37,'G-6 Hedgerow Data'!$B$1:$AH$15,33,FALSE))</f>
        <v/>
      </c>
      <c r="N37" s="376" t="str">
        <f t="shared" si="2"/>
        <v/>
      </c>
      <c r="O37" s="32"/>
      <c r="P37" s="582"/>
      <c r="Q37" s="165"/>
      <c r="R37" s="393" t="str">
        <f t="shared" si="3"/>
        <v/>
      </c>
      <c r="S37" s="393" t="str">
        <f t="shared" si="4"/>
        <v/>
      </c>
      <c r="T37" s="393" t="str">
        <f t="shared" si="5"/>
        <v/>
      </c>
      <c r="U37" s="415" t="str">
        <f t="shared" si="6"/>
        <v/>
      </c>
      <c r="V37" s="119"/>
      <c r="W37" s="120"/>
      <c r="X37" s="120"/>
      <c r="AE37" s="124" t="str">
        <f t="shared" si="0"/>
        <v/>
      </c>
      <c r="AF37" s="124" t="str">
        <f t="shared" si="1"/>
        <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
      </c>
    </row>
    <row r="38" spans="2:38" x14ac:dyDescent="0.25">
      <c r="B38" s="110">
        <v>29</v>
      </c>
      <c r="C38" s="165"/>
      <c r="D38" s="165"/>
      <c r="E38" s="139"/>
      <c r="F38" s="411" t="str">
        <f>IF(D38="","",VLOOKUP(D38,'G-6 Hedgerow Data'!$B$2:$AG$15,2,FALSE))</f>
        <v/>
      </c>
      <c r="G38" s="363" t="str">
        <f>IF(D38="","",VLOOKUP(D38,'G-6 Hedgerow Data'!$B$2:$AG$15,3,FALSE))</f>
        <v/>
      </c>
      <c r="H38" s="114"/>
      <c r="I38" s="363" t="str">
        <f>IFERROR(VLOOKUP(H38,'G-1 All Habitats'!$Z$2:$AA$9,2,FALSE),"")</f>
        <v/>
      </c>
      <c r="J38" s="114"/>
      <c r="K38" s="370" t="str">
        <f>IF(J38="","",IF(VLOOKUP(J38,'G-3 Multipliers'!$L$3:$N$6,2,FALSE)=0,"Spatial Data Missing",VLOOKUP(J38,'G-3 Multipliers'!$L$3:$N$6,2,FALSE)))</f>
        <v/>
      </c>
      <c r="L38" s="368" t="str">
        <f>IF(J38="","",IF(VLOOKUP(J38,'G-3 Multipliers'!$L$3:$N$6,3,FALSE)=0,"Spatial Data Missing ⚠",VLOOKUP(J38,'G-3 Multipliers'!$L$3:$N$6,3,FALSE)))</f>
        <v/>
      </c>
      <c r="M38" s="369" t="str">
        <f>IF(D38="","",VLOOKUP(D38,'G-6 Hedgerow Data'!$B$1:$AH$15,33,FALSE))</f>
        <v/>
      </c>
      <c r="N38" s="376" t="str">
        <f t="shared" si="2"/>
        <v/>
      </c>
      <c r="O38" s="32"/>
      <c r="P38" s="582"/>
      <c r="Q38" s="165"/>
      <c r="R38" s="393" t="str">
        <f t="shared" si="3"/>
        <v/>
      </c>
      <c r="S38" s="393" t="str">
        <f t="shared" si="4"/>
        <v/>
      </c>
      <c r="T38" s="393" t="str">
        <f t="shared" si="5"/>
        <v/>
      </c>
      <c r="U38" s="415" t="str">
        <f t="shared" si="6"/>
        <v/>
      </c>
      <c r="V38" s="119"/>
      <c r="W38" s="120"/>
      <c r="X38" s="120"/>
      <c r="AE38" s="124" t="str">
        <f t="shared" si="0"/>
        <v/>
      </c>
      <c r="AF38" s="124" t="str">
        <f t="shared" si="1"/>
        <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
      </c>
    </row>
    <row r="39" spans="2:38" x14ac:dyDescent="0.25">
      <c r="B39" s="110">
        <v>30</v>
      </c>
      <c r="C39" s="165"/>
      <c r="D39" s="165"/>
      <c r="E39" s="139"/>
      <c r="F39" s="411" t="str">
        <f>IF(D39="","",VLOOKUP(D39,'G-6 Hedgerow Data'!$B$2:$AG$15,2,FALSE))</f>
        <v/>
      </c>
      <c r="G39" s="363" t="str">
        <f>IF(D39="","",VLOOKUP(D39,'G-6 Hedgerow Data'!$B$2:$AG$15,3,FALSE))</f>
        <v/>
      </c>
      <c r="H39" s="114"/>
      <c r="I39" s="363" t="str">
        <f>IFERROR(VLOOKUP(H39,'G-1 All Habitats'!$Z$2:$AA$9,2,FALSE),"")</f>
        <v/>
      </c>
      <c r="J39" s="114"/>
      <c r="K39" s="370" t="str">
        <f>IF(J39="","",IF(VLOOKUP(J39,'G-3 Multipliers'!$L$3:$N$6,2,FALSE)=0,"Spatial Data Missing",VLOOKUP(J39,'G-3 Multipliers'!$L$3:$N$6,2,FALSE)))</f>
        <v/>
      </c>
      <c r="L39" s="368" t="str">
        <f>IF(J39="","",IF(VLOOKUP(J39,'G-3 Multipliers'!$L$3:$N$6,3,FALSE)=0,"Spatial Data Missing ⚠",VLOOKUP(J39,'G-3 Multipliers'!$L$3:$N$6,3,FALSE)))</f>
        <v/>
      </c>
      <c r="M39" s="369" t="str">
        <f>IF(D39="","",VLOOKUP(D39,'G-6 Hedgerow Data'!$B$1:$AH$15,33,FALSE))</f>
        <v/>
      </c>
      <c r="N39" s="376" t="str">
        <f t="shared" si="2"/>
        <v/>
      </c>
      <c r="O39" s="32"/>
      <c r="P39" s="582"/>
      <c r="Q39" s="165"/>
      <c r="R39" s="393" t="str">
        <f t="shared" si="3"/>
        <v/>
      </c>
      <c r="S39" s="393" t="str">
        <f t="shared" si="4"/>
        <v/>
      </c>
      <c r="T39" s="393" t="str">
        <f t="shared" si="5"/>
        <v/>
      </c>
      <c r="U39" s="415" t="str">
        <f t="shared" si="6"/>
        <v/>
      </c>
      <c r="V39" s="119"/>
      <c r="W39" s="120"/>
      <c r="X39" s="120"/>
      <c r="AE39" s="124" t="str">
        <f t="shared" si="0"/>
        <v/>
      </c>
      <c r="AF39" s="124" t="str">
        <f t="shared" si="1"/>
        <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
      </c>
    </row>
    <row r="40" spans="2:38" x14ac:dyDescent="0.25">
      <c r="B40" s="110">
        <v>31</v>
      </c>
      <c r="C40" s="165"/>
      <c r="D40" s="165"/>
      <c r="E40" s="139"/>
      <c r="F40" s="411" t="str">
        <f>IF(D40="","",VLOOKUP(D40,'G-6 Hedgerow Data'!$B$2:$AG$15,2,FALSE))</f>
        <v/>
      </c>
      <c r="G40" s="363" t="str">
        <f>IF(D40="","",VLOOKUP(D40,'G-6 Hedgerow Data'!$B$2:$AG$15,3,FALSE))</f>
        <v/>
      </c>
      <c r="H40" s="114"/>
      <c r="I40" s="363" t="str">
        <f>IFERROR(VLOOKUP(H40,'G-1 All Habitats'!$Z$2:$AA$9,2,FALSE),"")</f>
        <v/>
      </c>
      <c r="J40" s="114"/>
      <c r="K40" s="370" t="str">
        <f>IF(J40="","",IF(VLOOKUP(J40,'G-3 Multipliers'!$L$3:$N$6,2,FALSE)=0,"Spatial Data Missing",VLOOKUP(J40,'G-3 Multipliers'!$L$3:$N$6,2,FALSE)))</f>
        <v/>
      </c>
      <c r="L40" s="368" t="str">
        <f>IF(J40="","",IF(VLOOKUP(J40,'G-3 Multipliers'!$L$3:$N$6,3,FALSE)=0,"Spatial Data Missing ⚠",VLOOKUP(J40,'G-3 Multipliers'!$L$3:$N$6,3,FALSE)))</f>
        <v/>
      </c>
      <c r="M40" s="369" t="str">
        <f>IF(D40="","",VLOOKUP(D40,'G-6 Hedgerow Data'!$B$1:$AH$15,33,FALSE))</f>
        <v/>
      </c>
      <c r="N40" s="376" t="str">
        <f t="shared" si="2"/>
        <v/>
      </c>
      <c r="O40" s="32"/>
      <c r="P40" s="582"/>
      <c r="Q40" s="165"/>
      <c r="R40" s="393" t="str">
        <f t="shared" si="3"/>
        <v/>
      </c>
      <c r="S40" s="393" t="str">
        <f t="shared" si="4"/>
        <v/>
      </c>
      <c r="T40" s="393" t="str">
        <f t="shared" si="5"/>
        <v/>
      </c>
      <c r="U40" s="415" t="str">
        <f t="shared" si="6"/>
        <v/>
      </c>
      <c r="V40" s="119"/>
      <c r="W40" s="120"/>
      <c r="X40" s="120"/>
      <c r="AE40" s="124" t="str">
        <f t="shared" si="0"/>
        <v/>
      </c>
      <c r="AF40" s="124" t="str">
        <f t="shared" si="1"/>
        <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
      </c>
    </row>
    <row r="41" spans="2:38" x14ac:dyDescent="0.25">
      <c r="B41" s="110">
        <v>32</v>
      </c>
      <c r="C41" s="165"/>
      <c r="D41" s="165"/>
      <c r="E41" s="139"/>
      <c r="F41" s="411" t="str">
        <f>IF(D41="","",VLOOKUP(D41,'G-6 Hedgerow Data'!$B$2:$AG$15,2,FALSE))</f>
        <v/>
      </c>
      <c r="G41" s="363" t="str">
        <f>IF(D41="","",VLOOKUP(D41,'G-6 Hedgerow Data'!$B$2:$AG$15,3,FALSE))</f>
        <v/>
      </c>
      <c r="H41" s="114"/>
      <c r="I41" s="363" t="str">
        <f>IFERROR(VLOOKUP(H41,'G-1 All Habitats'!$Z$2:$AA$9,2,FALSE),"")</f>
        <v/>
      </c>
      <c r="J41" s="114"/>
      <c r="K41" s="370" t="str">
        <f>IF(J41="","",IF(VLOOKUP(J41,'G-3 Multipliers'!$L$3:$N$6,2,FALSE)=0,"Spatial Data Missing",VLOOKUP(J41,'G-3 Multipliers'!$L$3:$N$6,2,FALSE)))</f>
        <v/>
      </c>
      <c r="L41" s="368" t="str">
        <f>IF(J41="","",IF(VLOOKUP(J41,'G-3 Multipliers'!$L$3:$N$6,3,FALSE)=0,"Spatial Data Missing ⚠",VLOOKUP(J41,'G-3 Multipliers'!$L$3:$N$6,3,FALSE)))</f>
        <v/>
      </c>
      <c r="M41" s="369" t="str">
        <f>IF(D41="","",VLOOKUP(D41,'G-6 Hedgerow Data'!$B$1:$AH$15,33,FALSE))</f>
        <v/>
      </c>
      <c r="N41" s="376" t="str">
        <f t="shared" si="2"/>
        <v/>
      </c>
      <c r="O41" s="32"/>
      <c r="P41" s="582"/>
      <c r="Q41" s="165"/>
      <c r="R41" s="393" t="str">
        <f t="shared" si="3"/>
        <v/>
      </c>
      <c r="S41" s="393" t="str">
        <f t="shared" si="4"/>
        <v/>
      </c>
      <c r="T41" s="393" t="str">
        <f t="shared" si="5"/>
        <v/>
      </c>
      <c r="U41" s="415" t="str">
        <f t="shared" si="6"/>
        <v/>
      </c>
      <c r="V41" s="119"/>
      <c r="W41" s="120"/>
      <c r="X41" s="120"/>
      <c r="AE41" s="124" t="str">
        <f t="shared" si="0"/>
        <v/>
      </c>
      <c r="AF41" s="124" t="str">
        <f t="shared" si="1"/>
        <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
      </c>
    </row>
    <row r="42" spans="2:38" x14ac:dyDescent="0.25">
      <c r="B42" s="110">
        <v>33</v>
      </c>
      <c r="C42" s="165"/>
      <c r="D42" s="165"/>
      <c r="E42" s="139"/>
      <c r="F42" s="411" t="str">
        <f>IF(D42="","",VLOOKUP(D42,'G-6 Hedgerow Data'!$B$2:$AG$15,2,FALSE))</f>
        <v/>
      </c>
      <c r="G42" s="363" t="str">
        <f>IF(D42="","",VLOOKUP(D42,'G-6 Hedgerow Data'!$B$2:$AG$15,3,FALSE))</f>
        <v/>
      </c>
      <c r="H42" s="114"/>
      <c r="I42" s="363" t="str">
        <f>IFERROR(VLOOKUP(H42,'G-1 All Habitats'!$Z$2:$AA$9,2,FALSE),"")</f>
        <v/>
      </c>
      <c r="J42" s="114"/>
      <c r="K42" s="370" t="str">
        <f>IF(J42="","",IF(VLOOKUP(J42,'G-3 Multipliers'!$L$3:$N$6,2,FALSE)=0,"Spatial Data Missing",VLOOKUP(J42,'G-3 Multipliers'!$L$3:$N$6,2,FALSE)))</f>
        <v/>
      </c>
      <c r="L42" s="368" t="str">
        <f>IF(J42="","",IF(VLOOKUP(J42,'G-3 Multipliers'!$L$3:$N$6,3,FALSE)=0,"Spatial Data Missing ⚠",VLOOKUP(J42,'G-3 Multipliers'!$L$3:$N$6,3,FALSE)))</f>
        <v/>
      </c>
      <c r="M42" s="369" t="str">
        <f>IF(D42="","",VLOOKUP(D42,'G-6 Hedgerow Data'!$B$1:$AH$15,33,FALSE))</f>
        <v/>
      </c>
      <c r="N42" s="376" t="str">
        <f t="shared" si="2"/>
        <v/>
      </c>
      <c r="O42" s="32"/>
      <c r="P42" s="582"/>
      <c r="Q42" s="165"/>
      <c r="R42" s="393" t="str">
        <f t="shared" si="3"/>
        <v/>
      </c>
      <c r="S42" s="393" t="str">
        <f t="shared" si="4"/>
        <v/>
      </c>
      <c r="T42" s="393" t="str">
        <f t="shared" si="5"/>
        <v/>
      </c>
      <c r="U42" s="415" t="str">
        <f t="shared" si="6"/>
        <v/>
      </c>
      <c r="V42" s="119"/>
      <c r="W42" s="120"/>
      <c r="X42" s="120"/>
      <c r="AE42" s="124" t="str">
        <f t="shared" si="0"/>
        <v/>
      </c>
      <c r="AF42" s="124" t="str">
        <f t="shared" si="1"/>
        <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
      </c>
    </row>
    <row r="43" spans="2:38" x14ac:dyDescent="0.25">
      <c r="B43" s="110">
        <v>34</v>
      </c>
      <c r="C43" s="165"/>
      <c r="D43" s="165"/>
      <c r="E43" s="139"/>
      <c r="F43" s="411" t="str">
        <f>IF(D43="","",VLOOKUP(D43,'G-6 Hedgerow Data'!$B$2:$AG$15,2,FALSE))</f>
        <v/>
      </c>
      <c r="G43" s="363" t="str">
        <f>IF(D43="","",VLOOKUP(D43,'G-6 Hedgerow Data'!$B$2:$AG$15,3,FALSE))</f>
        <v/>
      </c>
      <c r="H43" s="114"/>
      <c r="I43" s="363" t="str">
        <f>IFERROR(VLOOKUP(H43,'G-1 All Habitats'!$Z$2:$AA$9,2,FALSE),"")</f>
        <v/>
      </c>
      <c r="J43" s="114"/>
      <c r="K43" s="370" t="str">
        <f>IF(J43="","",IF(VLOOKUP(J43,'G-3 Multipliers'!$L$3:$N$6,2,FALSE)=0,"Spatial Data Missing",VLOOKUP(J43,'G-3 Multipliers'!$L$3:$N$6,2,FALSE)))</f>
        <v/>
      </c>
      <c r="L43" s="368" t="str">
        <f>IF(J43="","",IF(VLOOKUP(J43,'G-3 Multipliers'!$L$3:$N$6,3,FALSE)=0,"Spatial Data Missing ⚠",VLOOKUP(J43,'G-3 Multipliers'!$L$3:$N$6,3,FALSE)))</f>
        <v/>
      </c>
      <c r="M43" s="369" t="str">
        <f>IF(D43="","",VLOOKUP(D43,'G-6 Hedgerow Data'!$B$1:$AH$15,33,FALSE))</f>
        <v/>
      </c>
      <c r="N43" s="376" t="str">
        <f t="shared" si="2"/>
        <v/>
      </c>
      <c r="O43" s="32"/>
      <c r="P43" s="582"/>
      <c r="Q43" s="165"/>
      <c r="R43" s="393" t="str">
        <f t="shared" si="3"/>
        <v/>
      </c>
      <c r="S43" s="393" t="str">
        <f t="shared" si="4"/>
        <v/>
      </c>
      <c r="T43" s="393" t="str">
        <f t="shared" si="5"/>
        <v/>
      </c>
      <c r="U43" s="415" t="str">
        <f t="shared" si="6"/>
        <v/>
      </c>
      <c r="V43" s="119"/>
      <c r="W43" s="120"/>
      <c r="X43" s="120"/>
      <c r="AE43" s="124" t="str">
        <f t="shared" si="0"/>
        <v/>
      </c>
      <c r="AF43" s="124" t="str">
        <f t="shared" si="1"/>
        <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
      </c>
    </row>
    <row r="44" spans="2:38" x14ac:dyDescent="0.25">
      <c r="B44" s="110">
        <v>35</v>
      </c>
      <c r="C44" s="165"/>
      <c r="D44" s="165"/>
      <c r="E44" s="121"/>
      <c r="F44" s="411" t="str">
        <f>IF(D44="","",VLOOKUP(D44,'G-6 Hedgerow Data'!$B$2:$AG$15,2,FALSE))</f>
        <v/>
      </c>
      <c r="G44" s="363" t="str">
        <f>IF(D44="","",VLOOKUP(D44,'G-6 Hedgerow Data'!$B$2:$AG$15,3,FALSE))</f>
        <v/>
      </c>
      <c r="H44" s="114"/>
      <c r="I44" s="363" t="str">
        <f>IFERROR(VLOOKUP(H44,'G-1 All Habitats'!$Z$2:$AA$9,2,FALSE),"")</f>
        <v/>
      </c>
      <c r="J44" s="114"/>
      <c r="K44" s="370" t="str">
        <f>IF(J44="","",IF(VLOOKUP(J44,'G-3 Multipliers'!$L$3:$N$6,2,FALSE)=0,"Spatial Data Missing",VLOOKUP(J44,'G-3 Multipliers'!$L$3:$N$6,2,FALSE)))</f>
        <v/>
      </c>
      <c r="L44" s="368" t="str">
        <f>IF(J44="","",IF(VLOOKUP(J44,'G-3 Multipliers'!$L$3:$N$6,3,FALSE)=0,"Spatial Data Missing ⚠",VLOOKUP(J44,'G-3 Multipliers'!$L$3:$N$6,3,FALSE)))</f>
        <v/>
      </c>
      <c r="M44" s="369" t="str">
        <f>IF(D44="","",VLOOKUP(D44,'G-6 Hedgerow Data'!$B$1:$AH$15,33,FALSE))</f>
        <v/>
      </c>
      <c r="N44" s="376" t="str">
        <f t="shared" si="2"/>
        <v/>
      </c>
      <c r="O44" s="32"/>
      <c r="P44" s="582"/>
      <c r="Q44" s="165"/>
      <c r="R44" s="393" t="str">
        <f t="shared" si="3"/>
        <v/>
      </c>
      <c r="S44" s="393" t="str">
        <f t="shared" si="4"/>
        <v/>
      </c>
      <c r="T44" s="393" t="str">
        <f t="shared" si="5"/>
        <v/>
      </c>
      <c r="U44" s="415" t="str">
        <f t="shared" si="6"/>
        <v/>
      </c>
      <c r="V44" s="119"/>
      <c r="W44" s="120"/>
      <c r="X44" s="120"/>
      <c r="AE44" s="124" t="str">
        <f t="shared" si="0"/>
        <v/>
      </c>
      <c r="AF44" s="124" t="str">
        <f t="shared" si="1"/>
        <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
      </c>
    </row>
    <row r="45" spans="2:38" x14ac:dyDescent="0.25">
      <c r="B45" s="110">
        <v>36</v>
      </c>
      <c r="C45" s="165"/>
      <c r="D45" s="165"/>
      <c r="E45" s="121"/>
      <c r="F45" s="411" t="str">
        <f>IF(D45="","",VLOOKUP(D45,'G-6 Hedgerow Data'!$B$2:$AG$15,2,FALSE))</f>
        <v/>
      </c>
      <c r="G45" s="363" t="str">
        <f>IF(D45="","",VLOOKUP(D45,'G-6 Hedgerow Data'!$B$2:$AG$15,3,FALSE))</f>
        <v/>
      </c>
      <c r="H45" s="114"/>
      <c r="I45" s="363" t="str">
        <f>IFERROR(VLOOKUP(H45,'G-1 All Habitats'!$Z$2:$AA$9,2,FALSE),"")</f>
        <v/>
      </c>
      <c r="J45" s="114"/>
      <c r="K45" s="370" t="str">
        <f>IF(J45="","",IF(VLOOKUP(J45,'G-3 Multipliers'!$L$3:$N$6,2,FALSE)=0,"Spatial Data Missing",VLOOKUP(J45,'G-3 Multipliers'!$L$3:$N$6,2,FALSE)))</f>
        <v/>
      </c>
      <c r="L45" s="368" t="str">
        <f>IF(J45="","",IF(VLOOKUP(J45,'G-3 Multipliers'!$L$3:$N$6,3,FALSE)=0,"Spatial Data Missing ⚠",VLOOKUP(J45,'G-3 Multipliers'!$L$3:$N$6,3,FALSE)))</f>
        <v/>
      </c>
      <c r="M45" s="369" t="str">
        <f>IF(D45="","",VLOOKUP(D45,'G-6 Hedgerow Data'!$B$1:$AH$15,33,FALSE))</f>
        <v/>
      </c>
      <c r="N45" s="376" t="str">
        <f t="shared" si="2"/>
        <v/>
      </c>
      <c r="O45" s="32"/>
      <c r="P45" s="582"/>
      <c r="Q45" s="165"/>
      <c r="R45" s="393" t="str">
        <f t="shared" si="3"/>
        <v/>
      </c>
      <c r="S45" s="393" t="str">
        <f t="shared" si="4"/>
        <v/>
      </c>
      <c r="T45" s="393" t="str">
        <f t="shared" si="5"/>
        <v/>
      </c>
      <c r="U45" s="415" t="str">
        <f t="shared" si="6"/>
        <v/>
      </c>
      <c r="V45" s="119"/>
      <c r="W45" s="120"/>
      <c r="X45" s="120"/>
      <c r="AE45" s="124" t="str">
        <f t="shared" si="0"/>
        <v/>
      </c>
      <c r="AF45" s="124" t="str">
        <f t="shared" si="1"/>
        <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
      </c>
    </row>
    <row r="46" spans="2:38" x14ac:dyDescent="0.25">
      <c r="B46" s="110">
        <v>37</v>
      </c>
      <c r="C46" s="165"/>
      <c r="D46" s="165"/>
      <c r="E46" s="121"/>
      <c r="F46" s="411" t="str">
        <f>IF(D46="","",VLOOKUP(D46,'G-6 Hedgerow Data'!$B$2:$AG$15,2,FALSE))</f>
        <v/>
      </c>
      <c r="G46" s="363" t="str">
        <f>IF(D46="","",VLOOKUP(D46,'G-6 Hedgerow Data'!$B$2:$AG$15,3,FALSE))</f>
        <v/>
      </c>
      <c r="H46" s="114"/>
      <c r="I46" s="363" t="str">
        <f>IFERROR(VLOOKUP(H46,'G-1 All Habitats'!$Z$2:$AA$9,2,FALSE),"")</f>
        <v/>
      </c>
      <c r="J46" s="114"/>
      <c r="K46" s="370" t="str">
        <f>IF(J46="","",IF(VLOOKUP(J46,'G-3 Multipliers'!$L$3:$N$6,2,FALSE)=0,"Spatial Data Missing",VLOOKUP(J46,'G-3 Multipliers'!$L$3:$N$6,2,FALSE)))</f>
        <v/>
      </c>
      <c r="L46" s="368" t="str">
        <f>IF(J46="","",IF(VLOOKUP(J46,'G-3 Multipliers'!$L$3:$N$6,3,FALSE)=0,"Spatial Data Missing ⚠",VLOOKUP(J46,'G-3 Multipliers'!$L$3:$N$6,3,FALSE)))</f>
        <v/>
      </c>
      <c r="M46" s="369" t="str">
        <f>IF(D46="","",VLOOKUP(D46,'G-6 Hedgerow Data'!$B$1:$AH$15,33,FALSE))</f>
        <v/>
      </c>
      <c r="N46" s="376" t="str">
        <f t="shared" si="2"/>
        <v/>
      </c>
      <c r="O46" s="32"/>
      <c r="P46" s="582"/>
      <c r="Q46" s="165"/>
      <c r="R46" s="393" t="str">
        <f t="shared" si="3"/>
        <v/>
      </c>
      <c r="S46" s="393" t="str">
        <f t="shared" si="4"/>
        <v/>
      </c>
      <c r="T46" s="393" t="str">
        <f t="shared" si="5"/>
        <v/>
      </c>
      <c r="U46" s="415" t="str">
        <f t="shared" si="6"/>
        <v/>
      </c>
      <c r="V46" s="119"/>
      <c r="W46" s="120"/>
      <c r="X46" s="120"/>
      <c r="AE46" s="124" t="str">
        <f t="shared" si="0"/>
        <v/>
      </c>
      <c r="AF46" s="124" t="str">
        <f t="shared" si="1"/>
        <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
      </c>
    </row>
    <row r="47" spans="2:38" x14ac:dyDescent="0.25">
      <c r="B47" s="110">
        <v>38</v>
      </c>
      <c r="C47" s="165"/>
      <c r="D47" s="165"/>
      <c r="E47" s="121"/>
      <c r="F47" s="411" t="str">
        <f>IF(D47="","",VLOOKUP(D47,'G-6 Hedgerow Data'!$B$2:$AG$15,2,FALSE))</f>
        <v/>
      </c>
      <c r="G47" s="363" t="str">
        <f>IF(D47="","",VLOOKUP(D47,'G-6 Hedgerow Data'!$B$2:$AG$15,3,FALSE))</f>
        <v/>
      </c>
      <c r="H47" s="114"/>
      <c r="I47" s="363" t="str">
        <f>IFERROR(VLOOKUP(H47,'G-1 All Habitats'!$Z$2:$AA$9,2,FALSE),"")</f>
        <v/>
      </c>
      <c r="J47" s="114"/>
      <c r="K47" s="370" t="str">
        <f>IF(J47="","",IF(VLOOKUP(J47,'G-3 Multipliers'!$L$3:$N$6,2,FALSE)=0,"Spatial Data Missing",VLOOKUP(J47,'G-3 Multipliers'!$L$3:$N$6,2,FALSE)))</f>
        <v/>
      </c>
      <c r="L47" s="368" t="str">
        <f>IF(J47="","",IF(VLOOKUP(J47,'G-3 Multipliers'!$L$3:$N$6,3,FALSE)=0,"Spatial Data Missing ⚠",VLOOKUP(J47,'G-3 Multipliers'!$L$3:$N$6,3,FALSE)))</f>
        <v/>
      </c>
      <c r="M47" s="369" t="str">
        <f>IF(D47="","",VLOOKUP(D47,'G-6 Hedgerow Data'!$B$1:$AH$15,33,FALSE))</f>
        <v/>
      </c>
      <c r="N47" s="376" t="str">
        <f t="shared" si="2"/>
        <v/>
      </c>
      <c r="O47" s="32"/>
      <c r="P47" s="582"/>
      <c r="Q47" s="165"/>
      <c r="R47" s="393" t="str">
        <f t="shared" si="3"/>
        <v/>
      </c>
      <c r="S47" s="393" t="str">
        <f t="shared" si="4"/>
        <v/>
      </c>
      <c r="T47" s="393" t="str">
        <f t="shared" si="5"/>
        <v/>
      </c>
      <c r="U47" s="415" t="str">
        <f t="shared" si="6"/>
        <v/>
      </c>
      <c r="V47" s="119"/>
      <c r="W47" s="120"/>
      <c r="X47" s="120"/>
      <c r="AE47" s="124" t="str">
        <f t="shared" si="0"/>
        <v/>
      </c>
      <c r="AF47" s="124" t="str">
        <f t="shared" si="1"/>
        <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
      </c>
    </row>
    <row r="48" spans="2:38" x14ac:dyDescent="0.25">
      <c r="B48" s="110">
        <v>39</v>
      </c>
      <c r="C48" s="165"/>
      <c r="D48" s="165"/>
      <c r="E48" s="121"/>
      <c r="F48" s="411" t="str">
        <f>IF(D48="","",VLOOKUP(D48,'G-6 Hedgerow Data'!$B$2:$AG$15,2,FALSE))</f>
        <v/>
      </c>
      <c r="G48" s="363" t="str">
        <f>IF(D48="","",VLOOKUP(D48,'G-6 Hedgerow Data'!$B$2:$AG$15,3,FALSE))</f>
        <v/>
      </c>
      <c r="H48" s="114"/>
      <c r="I48" s="363" t="str">
        <f>IFERROR(VLOOKUP(H48,'G-1 All Habitats'!$Z$2:$AA$9,2,FALSE),"")</f>
        <v/>
      </c>
      <c r="J48" s="114"/>
      <c r="K48" s="370" t="str">
        <f>IF(J48="","",IF(VLOOKUP(J48,'G-3 Multipliers'!$L$3:$N$6,2,FALSE)=0,"Spatial Data Missing",VLOOKUP(J48,'G-3 Multipliers'!$L$3:$N$6,2,FALSE)))</f>
        <v/>
      </c>
      <c r="L48" s="368" t="str">
        <f>IF(J48="","",IF(VLOOKUP(J48,'G-3 Multipliers'!$L$3:$N$6,3,FALSE)=0,"Spatial Data Missing ⚠",VLOOKUP(J48,'G-3 Multipliers'!$L$3:$N$6,3,FALSE)))</f>
        <v/>
      </c>
      <c r="M48" s="369" t="str">
        <f>IF(D48="","",VLOOKUP(D48,'G-6 Hedgerow Data'!$B$1:$AH$15,33,FALSE))</f>
        <v/>
      </c>
      <c r="N48" s="376" t="str">
        <f t="shared" si="2"/>
        <v/>
      </c>
      <c r="O48" s="32"/>
      <c r="P48" s="122"/>
      <c r="Q48" s="165"/>
      <c r="R48" s="393" t="str">
        <f t="shared" si="3"/>
        <v/>
      </c>
      <c r="S48" s="393" t="str">
        <f t="shared" si="4"/>
        <v/>
      </c>
      <c r="T48" s="393" t="str">
        <f t="shared" si="5"/>
        <v/>
      </c>
      <c r="U48" s="415" t="str">
        <f t="shared" si="6"/>
        <v/>
      </c>
      <c r="V48" s="119"/>
      <c r="W48" s="120"/>
      <c r="X48" s="120"/>
      <c r="AE48" s="124" t="str">
        <f t="shared" si="0"/>
        <v/>
      </c>
      <c r="AF48" s="124" t="str">
        <f t="shared" si="1"/>
        <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
      </c>
    </row>
    <row r="49" spans="2:38" x14ac:dyDescent="0.25">
      <c r="B49" s="110">
        <v>40</v>
      </c>
      <c r="C49" s="165"/>
      <c r="D49" s="165"/>
      <c r="E49" s="121"/>
      <c r="F49" s="411" t="str">
        <f>IF(D49="","",VLOOKUP(D49,'G-6 Hedgerow Data'!$B$2:$AG$15,2,FALSE))</f>
        <v/>
      </c>
      <c r="G49" s="363" t="str">
        <f>IF(D49="","",VLOOKUP(D49,'G-6 Hedgerow Data'!$B$2:$AG$15,3,FALSE))</f>
        <v/>
      </c>
      <c r="H49" s="114"/>
      <c r="I49" s="363" t="str">
        <f>IFERROR(VLOOKUP(H49,'G-1 All Habitats'!$Z$2:$AA$9,2,FALSE),"")</f>
        <v/>
      </c>
      <c r="J49" s="114"/>
      <c r="K49" s="370" t="str">
        <f>IF(J49="","",IF(VLOOKUP(J49,'G-3 Multipliers'!$L$3:$N$6,2,FALSE)=0,"Spatial Data Missing",VLOOKUP(J49,'G-3 Multipliers'!$L$3:$N$6,2,FALSE)))</f>
        <v/>
      </c>
      <c r="L49" s="368" t="str">
        <f>IF(J49="","",IF(VLOOKUP(J49,'G-3 Multipliers'!$L$3:$N$6,3,FALSE)=0,"Spatial Data Missing ⚠",VLOOKUP(J49,'G-3 Multipliers'!$L$3:$N$6,3,FALSE)))</f>
        <v/>
      </c>
      <c r="M49" s="369" t="str">
        <f>IF(D49="","",VLOOKUP(D49,'G-6 Hedgerow Data'!$B$1:$AH$15,33,FALSE))</f>
        <v/>
      </c>
      <c r="N49" s="376" t="str">
        <f t="shared" si="2"/>
        <v/>
      </c>
      <c r="O49" s="32"/>
      <c r="P49" s="122"/>
      <c r="Q49" s="165"/>
      <c r="R49" s="393" t="str">
        <f t="shared" si="3"/>
        <v/>
      </c>
      <c r="S49" s="393" t="str">
        <f t="shared" si="4"/>
        <v/>
      </c>
      <c r="T49" s="393" t="str">
        <f t="shared" si="5"/>
        <v/>
      </c>
      <c r="U49" s="415" t="str">
        <f t="shared" si="6"/>
        <v/>
      </c>
      <c r="V49" s="119"/>
      <c r="W49" s="120"/>
      <c r="X49" s="120"/>
      <c r="AE49" s="124" t="str">
        <f t="shared" si="0"/>
        <v/>
      </c>
      <c r="AF49" s="124" t="str">
        <f t="shared" si="1"/>
        <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
      </c>
    </row>
    <row r="50" spans="2:38" x14ac:dyDescent="0.25">
      <c r="B50" s="110">
        <v>41</v>
      </c>
      <c r="C50" s="165"/>
      <c r="D50" s="165"/>
      <c r="E50" s="121"/>
      <c r="F50" s="411" t="str">
        <f>IF(D50="","",VLOOKUP(D50,'G-6 Hedgerow Data'!$B$2:$AG$15,2,FALSE))</f>
        <v/>
      </c>
      <c r="G50" s="363" t="str">
        <f>IF(D50="","",VLOOKUP(D50,'G-6 Hedgerow Data'!$B$2:$AG$15,3,FALSE))</f>
        <v/>
      </c>
      <c r="H50" s="114"/>
      <c r="I50" s="363" t="str">
        <f>IFERROR(VLOOKUP(H50,'G-1 All Habitats'!$Z$2:$AA$9,2,FALSE),"")</f>
        <v/>
      </c>
      <c r="J50" s="114"/>
      <c r="K50" s="370" t="str">
        <f>IF(J50="","",IF(VLOOKUP(J50,'G-3 Multipliers'!$L$3:$N$6,2,FALSE)=0,"Spatial Data Missing",VLOOKUP(J50,'G-3 Multipliers'!$L$3:$N$6,2,FALSE)))</f>
        <v/>
      </c>
      <c r="L50" s="368" t="str">
        <f>IF(J50="","",IF(VLOOKUP(J50,'G-3 Multipliers'!$L$3:$N$6,3,FALSE)=0,"Spatial Data Missing ⚠",VLOOKUP(J50,'G-3 Multipliers'!$L$3:$N$6,3,FALSE)))</f>
        <v/>
      </c>
      <c r="M50" s="369" t="str">
        <f>IF(D50="","",VLOOKUP(D50,'G-6 Hedgerow Data'!$B$1:$AH$15,33,FALSE))</f>
        <v/>
      </c>
      <c r="N50" s="376" t="str">
        <f t="shared" si="2"/>
        <v/>
      </c>
      <c r="O50" s="32"/>
      <c r="P50" s="122"/>
      <c r="Q50" s="165"/>
      <c r="R50" s="393" t="str">
        <f t="shared" si="3"/>
        <v/>
      </c>
      <c r="S50" s="393" t="str">
        <f t="shared" si="4"/>
        <v/>
      </c>
      <c r="T50" s="393" t="str">
        <f t="shared" si="5"/>
        <v/>
      </c>
      <c r="U50" s="415" t="str">
        <f t="shared" si="6"/>
        <v/>
      </c>
      <c r="V50" s="119"/>
      <c r="W50" s="120"/>
      <c r="X50" s="120"/>
      <c r="AE50" s="124" t="str">
        <f t="shared" si="0"/>
        <v/>
      </c>
      <c r="AF50" s="124" t="str">
        <f t="shared" si="1"/>
        <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
      </c>
    </row>
    <row r="51" spans="2:38" x14ac:dyDescent="0.25">
      <c r="B51" s="110">
        <v>42</v>
      </c>
      <c r="C51" s="165"/>
      <c r="D51" s="165"/>
      <c r="E51" s="121"/>
      <c r="F51" s="411" t="str">
        <f>IF(D51="","",VLOOKUP(D51,'G-6 Hedgerow Data'!$B$2:$AG$15,2,FALSE))</f>
        <v/>
      </c>
      <c r="G51" s="363" t="str">
        <f>IF(D51="","",VLOOKUP(D51,'G-6 Hedgerow Data'!$B$2:$AG$15,3,FALSE))</f>
        <v/>
      </c>
      <c r="H51" s="114"/>
      <c r="I51" s="363" t="str">
        <f>IFERROR(VLOOKUP(H51,'G-1 All Habitats'!$Z$2:$AA$9,2,FALSE),"")</f>
        <v/>
      </c>
      <c r="J51" s="114"/>
      <c r="K51" s="370" t="str">
        <f>IF(J51="","",IF(VLOOKUP(J51,'G-3 Multipliers'!$L$3:$N$6,2,FALSE)=0,"Spatial Data Missing",VLOOKUP(J51,'G-3 Multipliers'!$L$3:$N$6,2,FALSE)))</f>
        <v/>
      </c>
      <c r="L51" s="368" t="str">
        <f>IF(J51="","",IF(VLOOKUP(J51,'G-3 Multipliers'!$L$3:$N$6,3,FALSE)=0,"Spatial Data Missing ⚠",VLOOKUP(J51,'G-3 Multipliers'!$L$3:$N$6,3,FALSE)))</f>
        <v/>
      </c>
      <c r="M51" s="369" t="str">
        <f>IF(D51="","",VLOOKUP(D51,'G-6 Hedgerow Data'!$B$1:$AH$15,33,FALSE))</f>
        <v/>
      </c>
      <c r="N51" s="376" t="str">
        <f t="shared" si="2"/>
        <v/>
      </c>
      <c r="O51" s="32"/>
      <c r="P51" s="122"/>
      <c r="Q51" s="165"/>
      <c r="R51" s="393" t="str">
        <f t="shared" si="3"/>
        <v/>
      </c>
      <c r="S51" s="393" t="str">
        <f t="shared" si="4"/>
        <v/>
      </c>
      <c r="T51" s="393" t="str">
        <f t="shared" si="5"/>
        <v/>
      </c>
      <c r="U51" s="415" t="str">
        <f t="shared" si="6"/>
        <v/>
      </c>
      <c r="V51" s="119"/>
      <c r="W51" s="120"/>
      <c r="X51" s="120"/>
      <c r="AE51" s="124" t="str">
        <f t="shared" si="0"/>
        <v/>
      </c>
      <c r="AF51" s="124" t="str">
        <f t="shared" si="1"/>
        <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
      </c>
    </row>
    <row r="52" spans="2:38" x14ac:dyDescent="0.25">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x14ac:dyDescent="0.25">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x14ac:dyDescent="0.25">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x14ac:dyDescent="0.25">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x14ac:dyDescent="0.25">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x14ac:dyDescent="0.25">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x14ac:dyDescent="0.25">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x14ac:dyDescent="0.25">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x14ac:dyDescent="0.25">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x14ac:dyDescent="0.25">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x14ac:dyDescent="0.25">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x14ac:dyDescent="0.25">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x14ac:dyDescent="0.25">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x14ac:dyDescent="0.25">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x14ac:dyDescent="0.25">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x14ac:dyDescent="0.25">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x14ac:dyDescent="0.25">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x14ac:dyDescent="0.25">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x14ac:dyDescent="0.25">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x14ac:dyDescent="0.25">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x14ac:dyDescent="0.25">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x14ac:dyDescent="0.25">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x14ac:dyDescent="0.25">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x14ac:dyDescent="0.25">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x14ac:dyDescent="0.25">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x14ac:dyDescent="0.25">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x14ac:dyDescent="0.25">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x14ac:dyDescent="0.25">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x14ac:dyDescent="0.25">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x14ac:dyDescent="0.25">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x14ac:dyDescent="0.25">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x14ac:dyDescent="0.25">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x14ac:dyDescent="0.25">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x14ac:dyDescent="0.25">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x14ac:dyDescent="0.25">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x14ac:dyDescent="0.25">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x14ac:dyDescent="0.25">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x14ac:dyDescent="0.25">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x14ac:dyDescent="0.25">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x14ac:dyDescent="0.25">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x14ac:dyDescent="0.25">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x14ac:dyDescent="0.25">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x14ac:dyDescent="0.25">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x14ac:dyDescent="0.25">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x14ac:dyDescent="0.25">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x14ac:dyDescent="0.25">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x14ac:dyDescent="0.25">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x14ac:dyDescent="0.25">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x14ac:dyDescent="0.25">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x14ac:dyDescent="0.25">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x14ac:dyDescent="0.25">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x14ac:dyDescent="0.25">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x14ac:dyDescent="0.25">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x14ac:dyDescent="0.25">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x14ac:dyDescent="0.25">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x14ac:dyDescent="0.25">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x14ac:dyDescent="0.25">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x14ac:dyDescent="0.25">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x14ac:dyDescent="0.25">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x14ac:dyDescent="0.25">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x14ac:dyDescent="0.25">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x14ac:dyDescent="0.25">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x14ac:dyDescent="0.25">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x14ac:dyDescent="0.25">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x14ac:dyDescent="0.25">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x14ac:dyDescent="0.25">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x14ac:dyDescent="0.25">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x14ac:dyDescent="0.25">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x14ac:dyDescent="0.25">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x14ac:dyDescent="0.25">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x14ac:dyDescent="0.25">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x14ac:dyDescent="0.25">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x14ac:dyDescent="0.25">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x14ac:dyDescent="0.25">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x14ac:dyDescent="0.25">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x14ac:dyDescent="0.25">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x14ac:dyDescent="0.25">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x14ac:dyDescent="0.25">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x14ac:dyDescent="0.25">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x14ac:dyDescent="0.25">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x14ac:dyDescent="0.25">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x14ac:dyDescent="0.25">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x14ac:dyDescent="0.25">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x14ac:dyDescent="0.25">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x14ac:dyDescent="0.25">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x14ac:dyDescent="0.25">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x14ac:dyDescent="0.25">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x14ac:dyDescent="0.25">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x14ac:dyDescent="0.25">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x14ac:dyDescent="0.25">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x14ac:dyDescent="0.25">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x14ac:dyDescent="0.25">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x14ac:dyDescent="0.25">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x14ac:dyDescent="0.25">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x14ac:dyDescent="0.25">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x14ac:dyDescent="0.25">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x14ac:dyDescent="0.25">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x14ac:dyDescent="0.25">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x14ac:dyDescent="0.25">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x14ac:dyDescent="0.25">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x14ac:dyDescent="0.25">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x14ac:dyDescent="0.25">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x14ac:dyDescent="0.25">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x14ac:dyDescent="0.25">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x14ac:dyDescent="0.25">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x14ac:dyDescent="0.25">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x14ac:dyDescent="0.25">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x14ac:dyDescent="0.25">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x14ac:dyDescent="0.25">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x14ac:dyDescent="0.25">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x14ac:dyDescent="0.25">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x14ac:dyDescent="0.25">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x14ac:dyDescent="0.25">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x14ac:dyDescent="0.25">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x14ac:dyDescent="0.25">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x14ac:dyDescent="0.25">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x14ac:dyDescent="0.25">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x14ac:dyDescent="0.25">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x14ac:dyDescent="0.25">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x14ac:dyDescent="0.25">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x14ac:dyDescent="0.25">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x14ac:dyDescent="0.25">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x14ac:dyDescent="0.25">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x14ac:dyDescent="0.25">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x14ac:dyDescent="0.25">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x14ac:dyDescent="0.25">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x14ac:dyDescent="0.25">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x14ac:dyDescent="0.25">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x14ac:dyDescent="0.25">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x14ac:dyDescent="0.25">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x14ac:dyDescent="0.25">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x14ac:dyDescent="0.25">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x14ac:dyDescent="0.25">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x14ac:dyDescent="0.25">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x14ac:dyDescent="0.25">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x14ac:dyDescent="0.25">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x14ac:dyDescent="0.25">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x14ac:dyDescent="0.25">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x14ac:dyDescent="0.25">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x14ac:dyDescent="0.25">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x14ac:dyDescent="0.25">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x14ac:dyDescent="0.25">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x14ac:dyDescent="0.25">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x14ac:dyDescent="0.25">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x14ac:dyDescent="0.25">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x14ac:dyDescent="0.25">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x14ac:dyDescent="0.25">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x14ac:dyDescent="0.25">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x14ac:dyDescent="0.25">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x14ac:dyDescent="0.25">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x14ac:dyDescent="0.25">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x14ac:dyDescent="0.25">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x14ac:dyDescent="0.25">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x14ac:dyDescent="0.25">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x14ac:dyDescent="0.25">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x14ac:dyDescent="0.25">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x14ac:dyDescent="0.25">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x14ac:dyDescent="0.25">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x14ac:dyDescent="0.25">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x14ac:dyDescent="0.25">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x14ac:dyDescent="0.25">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x14ac:dyDescent="0.25">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x14ac:dyDescent="0.25">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x14ac:dyDescent="0.25">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x14ac:dyDescent="0.25">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x14ac:dyDescent="0.25">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x14ac:dyDescent="0.25">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x14ac:dyDescent="0.25">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x14ac:dyDescent="0.25">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x14ac:dyDescent="0.25">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x14ac:dyDescent="0.25">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x14ac:dyDescent="0.25">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x14ac:dyDescent="0.25">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x14ac:dyDescent="0.25">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x14ac:dyDescent="0.25">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x14ac:dyDescent="0.25">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x14ac:dyDescent="0.25">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x14ac:dyDescent="0.25">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x14ac:dyDescent="0.25">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x14ac:dyDescent="0.25">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x14ac:dyDescent="0.25">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x14ac:dyDescent="0.25">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x14ac:dyDescent="0.25">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x14ac:dyDescent="0.25">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x14ac:dyDescent="0.25">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x14ac:dyDescent="0.25">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x14ac:dyDescent="0.25">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x14ac:dyDescent="0.25">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x14ac:dyDescent="0.25">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x14ac:dyDescent="0.25">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x14ac:dyDescent="0.25">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x14ac:dyDescent="0.25">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x14ac:dyDescent="0.25">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x14ac:dyDescent="0.25">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x14ac:dyDescent="0.25">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x14ac:dyDescent="0.25">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x14ac:dyDescent="0.25">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x14ac:dyDescent="0.25">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x14ac:dyDescent="0.25">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x14ac:dyDescent="0.25">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x14ac:dyDescent="0.25">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x14ac:dyDescent="0.25">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x14ac:dyDescent="0.25">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x14ac:dyDescent="0.25">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x14ac:dyDescent="0.25">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4.4" thickBot="1" x14ac:dyDescent="0.3">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4.4" thickBot="1" x14ac:dyDescent="0.3">
      <c r="D258" s="859"/>
      <c r="E258" s="412">
        <f>SUM(E10:E257)</f>
        <v>2.54</v>
      </c>
      <c r="M258" s="859"/>
      <c r="N258" s="414">
        <f>SUM(N10:N257)</f>
        <v>16.240000000000002</v>
      </c>
      <c r="O258" s="133"/>
      <c r="P258" s="379">
        <f t="shared" ref="P258:U258" si="28">SUM(P10:P257)</f>
        <v>2.54</v>
      </c>
      <c r="Q258" s="380">
        <f t="shared" si="28"/>
        <v>0</v>
      </c>
      <c r="R258" s="380" cm="1">
        <f t="array" ref="R258">IF(OR(T10:T257="Error in Lengths ▲", R10:R27 = "Error"), "Error ▲", SUM(R10:R257))</f>
        <v>16.240000000000002</v>
      </c>
      <c r="S258" s="380" cm="1">
        <f t="array" ref="S258">IF(OR(T10:T257="Error in lengths ▲",S10:S257="Error"),"Error ▲",SUM(S10:S257))</f>
        <v>0</v>
      </c>
      <c r="T258" s="380">
        <f t="shared" si="28"/>
        <v>0</v>
      </c>
      <c r="U258" s="377">
        <f t="shared" si="28"/>
        <v>0</v>
      </c>
    </row>
    <row r="259" spans="2:38" x14ac:dyDescent="0.25">
      <c r="O259" s="133"/>
      <c r="P259" s="133"/>
      <c r="Q259" s="133"/>
      <c r="R259" s="133"/>
      <c r="S259" s="133"/>
      <c r="T259" s="133"/>
      <c r="U259" s="133"/>
    </row>
    <row r="260" spans="2:38" x14ac:dyDescent="0.25">
      <c r="B260" s="102"/>
      <c r="C260" s="102"/>
    </row>
    <row r="261" spans="2:38" x14ac:dyDescent="0.25">
      <c r="B261" s="102"/>
      <c r="C261" s="102"/>
    </row>
    <row r="262" spans="2:38" x14ac:dyDescent="0.25">
      <c r="B262" s="102"/>
      <c r="C262" s="102"/>
    </row>
    <row r="263" spans="2:38" x14ac:dyDescent="0.25">
      <c r="B263" s="102"/>
      <c r="C263" s="102"/>
    </row>
    <row r="264" spans="2:38" x14ac:dyDescent="0.25">
      <c r="B264" s="102"/>
      <c r="C264" s="102"/>
    </row>
  </sheetData>
  <sheetProtection algorithmName="SHA-512" hashValue="EjuQ9zO0j9ttgJdItCJ8L51aqZ7OCL3+Mk9659Fwt7hsCl1uonuWw5f5jSo0QjSjmZdQKgLSUVJ4A10TiYzs4w==" saltValue="d8U0DrxCQHw+KWGkGt0HL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99" priority="25" operator="equal">
      <formula>"Like for like or better"</formula>
    </cfRule>
    <cfRule type="cellIs" dxfId="498" priority="26" operator="equal">
      <formula>"Like for like"</formula>
    </cfRule>
    <cfRule type="containsText" dxfId="497" priority="27" operator="containsText" text="Same distinctiveness">
      <formula>NOT(ISERROR(SEARCH("Same distinctiveness",M10)))</formula>
    </cfRule>
  </conditionalFormatting>
  <conditionalFormatting sqref="K10:K257">
    <cfRule type="containsText" dxfId="496" priority="23" operator="containsText" text="Spatial">
      <formula>NOT(ISERROR(SEARCH("Spatial",K10)))</formula>
    </cfRule>
  </conditionalFormatting>
  <conditionalFormatting sqref="L10:L257">
    <cfRule type="containsText" dxfId="495" priority="22" operator="containsText" text="Spatial">
      <formula>NOT(ISERROR(SEARCH("Spatial",L10)))</formula>
    </cfRule>
  </conditionalFormatting>
  <conditionalFormatting sqref="T10:T257">
    <cfRule type="containsText" dxfId="494" priority="21" operator="containsText" text="Error">
      <formula>NOT(ISERROR(SEARCH("Error",T10)))</formula>
    </cfRule>
  </conditionalFormatting>
  <conditionalFormatting sqref="U10:U257">
    <cfRule type="containsText" dxfId="493" priority="20" operator="containsText" text="Error">
      <formula>NOT(ISERROR(SEARCH("Error",U10)))</formula>
    </cfRule>
  </conditionalFormatting>
  <conditionalFormatting sqref="J3">
    <cfRule type="containsText" dxfId="492" priority="14" operator="containsText" text="Error">
      <formula>NOT(ISERROR(SEARCH("Error",J3)))</formula>
    </cfRule>
    <cfRule type="containsText" dxfId="491" priority="15" operator="containsText" text="Check">
      <formula>NOT(ISERROR(SEARCH("Check",J3)))</formula>
    </cfRule>
  </conditionalFormatting>
  <conditionalFormatting sqref="J4">
    <cfRule type="containsText" dxfId="490" priority="2" operator="containsText" text="Error">
      <formula>NOT(ISERROR(SEARCH("Error",J4)))</formula>
    </cfRule>
    <cfRule type="containsText" dxfId="489" priority="3" operator="containsText" text="Check">
      <formula>NOT(ISERROR(SEARCH("Check",J4)))</formula>
    </cfRule>
    <cfRule type="cellIs" dxfId="488" priority="4" operator="equal">
      <formula>0</formula>
    </cfRule>
    <cfRule type="cellIs" dxfId="487" priority="5" operator="lessThan">
      <formula>0</formula>
    </cfRule>
  </conditionalFormatting>
  <conditionalFormatting sqref="J5">
    <cfRule type="containsText" dxfId="486" priority="8" operator="containsText" text="No">
      <formula>NOT(ISERROR(SEARCH("No",J5)))</formula>
    </cfRule>
    <cfRule type="containsText" dxfId="485" priority="9" operator="containsText" text="Yes">
      <formula>NOT(ISERROR(SEARCH("Yes",J5)))</formula>
    </cfRule>
  </conditionalFormatting>
  <conditionalFormatting sqref="I10:I257">
    <cfRule type="containsText" dxfId="484" priority="7" operator="containsText" text="Not possible">
      <formula>NOT(ISERROR(SEARCH("Not possible",I10)))</formula>
    </cfRule>
  </conditionalFormatting>
  <conditionalFormatting sqref="R258:S258">
    <cfRule type="containsText" dxfId="483" priority="6" operator="containsText" text="Error">
      <formula>NOT(ISERROR(SEARCH("Error",R258)))</formula>
    </cfRule>
  </conditionalFormatting>
  <conditionalFormatting sqref="J3:J5">
    <cfRule type="containsText" dxfId="482" priority="1" operator="containsText" text="N/A">
      <formula>NOT(ISERROR(SEARCH("N/A",J3)))</formula>
    </cfRule>
  </conditionalFormatting>
  <dataValidations count="1">
    <dataValidation type="list" allowBlank="1" showInputMessage="1" showErrorMessage="1" sqref="H10:H257" xr:uid="{00000000-0002-0000-1000-000000000000}">
      <formula1>INDIRECT(AL10)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4" operator="lessThan" id="{B1ACE558-59E3-4CD1-B5A8-4EB8AA7004D8}">
            <xm:f>Start!$F$22</xm:f>
            <x14:dxf>
              <font>
                <color rgb="FF383745"/>
              </font>
              <fill>
                <patternFill>
                  <bgColor rgb="FFFFC000"/>
                </patternFill>
              </fill>
            </x14:dxf>
          </x14:cfRule>
          <x14:cfRule type="cellIs" priority="435"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1000000}">
          <x14:formula1>
            <xm:f>'G-6 Hedgerow Data'!$B$3:$B$15</xm:f>
          </x14:formula1>
          <xm:sqref>D10:D257</xm:sqref>
        </x14:dataValidation>
        <x14:dataValidation type="list" allowBlank="1" showErrorMessage="1" prompt=" _x000a_" xr:uid="{00000000-0002-0000-1000-000002000000}">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sheetPr>
  <dimension ref="A1:AC68"/>
  <sheetViews>
    <sheetView showRowColHeaders="0" tabSelected="1" zoomScale="80" zoomScaleNormal="80" workbookViewId="0"/>
  </sheetViews>
  <sheetFormatPr defaultColWidth="0" defaultRowHeight="0" customHeight="1" zeroHeight="1" x14ac:dyDescent="0.25"/>
  <cols>
    <col min="1" max="2" width="2.21875" style="11" customWidth="1"/>
    <col min="3" max="3" width="3" style="11" customWidth="1"/>
    <col min="4" max="4" width="10.5546875" style="11" customWidth="1"/>
    <col min="5" max="5" width="33.77734375" style="11" customWidth="1"/>
    <col min="6" max="6" width="14.77734375" style="11" customWidth="1"/>
    <col min="7" max="7" width="9.21875" style="11" customWidth="1"/>
    <col min="8" max="8" width="7.77734375" style="11" customWidth="1"/>
    <col min="9" max="9" width="35.21875" style="11" customWidth="1"/>
    <col min="10" max="10" width="16.44140625" style="11" customWidth="1"/>
    <col min="11" max="11" width="2.77734375" style="11" customWidth="1"/>
    <col min="12" max="12" width="1.5546875" style="11" customWidth="1"/>
    <col min="13" max="14" width="4.21875" style="11" customWidth="1"/>
    <col min="15" max="15" width="5.77734375" style="11" customWidth="1"/>
    <col min="16" max="16" width="9.21875" style="11" customWidth="1"/>
    <col min="17" max="17" width="34.5546875" style="11" customWidth="1"/>
    <col min="18" max="18" width="13.77734375" style="11" bestFit="1" customWidth="1"/>
    <col min="19" max="19" width="19.21875" style="11" customWidth="1"/>
    <col min="20" max="28" width="9.21875" style="11" customWidth="1"/>
    <col min="29" max="29" width="0" style="11" hidden="1" customWidth="1"/>
    <col min="30" max="16384" width="9.21875" style="11" hidden="1"/>
  </cols>
  <sheetData>
    <row r="1" spans="1:19" ht="15.6" customHeight="1" x14ac:dyDescent="0.5">
      <c r="B1" s="12"/>
      <c r="C1" s="12"/>
      <c r="E1" s="13"/>
      <c r="F1" s="944"/>
      <c r="G1" s="944"/>
      <c r="H1" s="944"/>
      <c r="I1" s="944"/>
      <c r="J1" s="944"/>
      <c r="K1" s="945"/>
      <c r="L1" s="945"/>
      <c r="M1" s="945"/>
      <c r="N1" s="945"/>
      <c r="O1" s="945"/>
      <c r="P1" s="945"/>
    </row>
    <row r="2" spans="1:19" ht="15.75" customHeight="1" x14ac:dyDescent="0.5">
      <c r="B2" s="12"/>
      <c r="C2" s="12"/>
      <c r="E2" s="13"/>
    </row>
    <row r="3" spans="1:19" ht="15.75" customHeight="1" x14ac:dyDescent="0.5">
      <c r="A3" s="13"/>
      <c r="B3" s="13"/>
      <c r="C3" s="13"/>
      <c r="D3" s="13"/>
      <c r="E3" s="13"/>
      <c r="F3" s="946"/>
      <c r="G3" s="946"/>
      <c r="H3" s="946"/>
      <c r="I3" s="946"/>
      <c r="J3" s="946"/>
      <c r="K3" s="946"/>
      <c r="L3" s="946"/>
      <c r="M3" s="946"/>
      <c r="N3" s="946"/>
      <c r="O3" s="946"/>
      <c r="P3" s="946"/>
      <c r="Q3" s="946"/>
    </row>
    <row r="4" spans="1:19" ht="16.5" customHeight="1" x14ac:dyDescent="0.5">
      <c r="A4" s="13"/>
      <c r="B4" s="13"/>
      <c r="C4" s="13"/>
      <c r="D4" s="13"/>
      <c r="E4" s="13"/>
      <c r="F4" s="946"/>
      <c r="G4" s="946"/>
      <c r="H4" s="946"/>
      <c r="I4" s="946"/>
      <c r="J4" s="946"/>
      <c r="K4" s="946"/>
      <c r="L4" s="946"/>
      <c r="M4" s="946"/>
      <c r="N4" s="946"/>
      <c r="O4" s="946"/>
      <c r="P4" s="946"/>
      <c r="Q4" s="946"/>
    </row>
    <row r="5" spans="1:19" ht="16.5" customHeight="1" x14ac:dyDescent="0.5">
      <c r="A5" s="13"/>
      <c r="B5" s="13"/>
      <c r="C5" s="13"/>
      <c r="D5" s="13"/>
      <c r="E5" s="13"/>
      <c r="F5" s="14"/>
      <c r="G5" s="14"/>
      <c r="H5" s="14"/>
      <c r="I5" s="14"/>
      <c r="J5" s="14"/>
      <c r="K5" s="14"/>
      <c r="L5" s="14"/>
      <c r="M5" s="14"/>
      <c r="N5" s="14"/>
      <c r="O5" s="14"/>
      <c r="P5" s="14"/>
      <c r="Q5" s="14"/>
      <c r="R5" s="14"/>
      <c r="S5" s="14"/>
    </row>
    <row r="6" spans="1:19" ht="16.5" customHeight="1" x14ac:dyDescent="0.5">
      <c r="B6" s="12"/>
      <c r="C6" s="12"/>
      <c r="D6" s="13"/>
      <c r="E6" s="13"/>
      <c r="F6" s="14"/>
      <c r="G6" s="14"/>
      <c r="H6" s="14"/>
      <c r="I6" s="14"/>
      <c r="J6" s="14"/>
      <c r="K6" s="14"/>
      <c r="L6" s="14"/>
      <c r="M6" s="14"/>
      <c r="N6" s="14"/>
      <c r="O6" s="14"/>
      <c r="P6" s="14"/>
      <c r="Q6" s="14"/>
      <c r="R6" s="14"/>
      <c r="S6" s="14"/>
    </row>
    <row r="7" spans="1:19" ht="16.5" customHeight="1" x14ac:dyDescent="0.5">
      <c r="B7" s="12"/>
      <c r="C7" s="13"/>
      <c r="D7" s="13"/>
      <c r="E7" s="13"/>
      <c r="F7" s="14"/>
      <c r="G7" s="14"/>
      <c r="H7" s="14"/>
      <c r="I7" s="14"/>
      <c r="J7" s="14"/>
      <c r="K7" s="14"/>
      <c r="L7" s="14"/>
      <c r="M7" s="14"/>
      <c r="N7" s="14"/>
      <c r="O7" s="14"/>
      <c r="P7" s="14"/>
      <c r="Q7" s="14"/>
      <c r="R7" s="14"/>
      <c r="S7" s="14"/>
    </row>
    <row r="8" spans="1:19" ht="23.55" customHeight="1" thickBot="1" x14ac:dyDescent="0.55000000000000004">
      <c r="B8" s="12"/>
      <c r="C8" s="12"/>
      <c r="D8" s="702">
        <v>4</v>
      </c>
      <c r="E8" s="951"/>
      <c r="F8" s="951"/>
      <c r="G8" s="951"/>
      <c r="H8" s="951"/>
      <c r="I8" s="951"/>
      <c r="J8" s="951"/>
      <c r="K8" s="14"/>
      <c r="L8" s="14"/>
      <c r="M8" s="14"/>
      <c r="N8" s="14"/>
      <c r="O8" s="14"/>
      <c r="P8" s="14"/>
      <c r="Q8" s="14"/>
      <c r="R8" s="14"/>
      <c r="S8" s="14"/>
    </row>
    <row r="9" spans="1:19" ht="23.55" customHeight="1" x14ac:dyDescent="0.25">
      <c r="B9" s="12"/>
      <c r="D9" s="952" t="s">
        <v>0</v>
      </c>
      <c r="E9" s="953"/>
      <c r="F9" s="953"/>
      <c r="G9" s="953"/>
      <c r="H9" s="953"/>
      <c r="I9" s="953"/>
      <c r="J9" s="954"/>
      <c r="K9" s="14"/>
      <c r="L9" s="14"/>
      <c r="M9" s="14"/>
      <c r="N9" s="14"/>
      <c r="O9" s="14"/>
      <c r="P9" s="14"/>
      <c r="Q9" s="14"/>
      <c r="R9" s="14"/>
      <c r="S9" s="14"/>
    </row>
    <row r="10" spans="1:19" ht="21.6" customHeight="1" thickBot="1" x14ac:dyDescent="0.3">
      <c r="B10" s="12"/>
      <c r="D10" s="955"/>
      <c r="E10" s="956"/>
      <c r="F10" s="956"/>
      <c r="G10" s="956"/>
      <c r="H10" s="956"/>
      <c r="I10" s="956"/>
      <c r="J10" s="957"/>
      <c r="K10" s="14"/>
      <c r="L10" s="14"/>
      <c r="M10" s="14"/>
      <c r="N10" s="14"/>
      <c r="P10" s="14"/>
      <c r="Q10" s="14"/>
      <c r="R10" s="14"/>
    </row>
    <row r="11" spans="1:19" ht="25.95" customHeight="1" x14ac:dyDescent="0.25">
      <c r="B11" s="12"/>
      <c r="D11" s="947" t="s">
        <v>1</v>
      </c>
      <c r="E11" s="948"/>
      <c r="F11" s="949"/>
      <c r="G11" s="949"/>
      <c r="H11" s="949"/>
      <c r="I11" s="949"/>
      <c r="J11" s="950"/>
      <c r="K11" s="14"/>
      <c r="L11" s="14"/>
      <c r="M11" s="14"/>
      <c r="N11" s="14"/>
      <c r="P11" s="14"/>
      <c r="Q11" s="14"/>
      <c r="R11" s="14"/>
    </row>
    <row r="12" spans="1:19" ht="24" customHeight="1" x14ac:dyDescent="0.25">
      <c r="B12" s="12"/>
      <c r="D12" s="942" t="s">
        <v>2</v>
      </c>
      <c r="E12" s="943"/>
      <c r="F12" s="940" t="s">
        <v>1724</v>
      </c>
      <c r="G12" s="940"/>
      <c r="H12" s="940"/>
      <c r="I12" s="940"/>
      <c r="J12" s="941"/>
      <c r="K12" s="14"/>
      <c r="L12" s="14"/>
      <c r="M12" s="14"/>
      <c r="N12" s="14"/>
      <c r="P12" s="14"/>
      <c r="Q12" s="14"/>
      <c r="R12" s="14"/>
    </row>
    <row r="13" spans="1:19" ht="21.6" customHeight="1" x14ac:dyDescent="0.25">
      <c r="B13" s="12"/>
      <c r="D13" s="942" t="s">
        <v>3</v>
      </c>
      <c r="E13" s="943"/>
      <c r="F13" s="940" t="s">
        <v>1725</v>
      </c>
      <c r="G13" s="940"/>
      <c r="H13" s="940"/>
      <c r="I13" s="940"/>
      <c r="J13" s="941"/>
      <c r="K13" s="14"/>
      <c r="L13" s="14"/>
      <c r="M13" s="14"/>
      <c r="N13" s="14"/>
      <c r="P13" s="14"/>
      <c r="Q13" s="14"/>
      <c r="R13" s="14"/>
    </row>
    <row r="14" spans="1:19" ht="22.2" customHeight="1" x14ac:dyDescent="0.25">
      <c r="B14" s="12"/>
      <c r="D14" s="942" t="s">
        <v>4</v>
      </c>
      <c r="E14" s="943"/>
      <c r="F14" s="940" t="s">
        <v>1726</v>
      </c>
      <c r="G14" s="940"/>
      <c r="H14" s="940"/>
      <c r="I14" s="940"/>
      <c r="J14" s="941"/>
      <c r="K14" s="14"/>
      <c r="L14" s="14"/>
      <c r="M14" s="14"/>
      <c r="N14" s="14"/>
      <c r="P14" s="14"/>
      <c r="Q14" s="14"/>
      <c r="R14" s="14"/>
    </row>
    <row r="15" spans="1:19" ht="21.6" customHeight="1" x14ac:dyDescent="0.25">
      <c r="B15" s="12"/>
      <c r="D15" s="942" t="s">
        <v>5</v>
      </c>
      <c r="E15" s="943"/>
      <c r="F15" s="940"/>
      <c r="G15" s="940"/>
      <c r="H15" s="940"/>
      <c r="I15" s="940"/>
      <c r="J15" s="941"/>
      <c r="K15" s="14"/>
      <c r="L15" s="14"/>
      <c r="M15" s="14"/>
      <c r="N15" s="14"/>
      <c r="P15" s="14"/>
      <c r="Q15" s="14"/>
      <c r="R15" s="14"/>
    </row>
    <row r="16" spans="1:19" ht="21" customHeight="1" x14ac:dyDescent="0.25">
      <c r="D16" s="942" t="s">
        <v>6</v>
      </c>
      <c r="E16" s="943"/>
      <c r="F16" s="940" t="s">
        <v>1727</v>
      </c>
      <c r="G16" s="940"/>
      <c r="H16" s="940"/>
      <c r="I16" s="940"/>
      <c r="J16" s="941"/>
      <c r="K16" s="14"/>
      <c r="L16" s="14"/>
      <c r="M16" s="14"/>
      <c r="N16" s="14"/>
      <c r="P16" s="14"/>
      <c r="Q16" s="14"/>
      <c r="R16" s="14"/>
    </row>
    <row r="17" spans="3:18" ht="21" customHeight="1" x14ac:dyDescent="0.25">
      <c r="D17" s="942" t="s">
        <v>7</v>
      </c>
      <c r="E17" s="943"/>
      <c r="F17" s="967">
        <v>45855</v>
      </c>
      <c r="G17" s="967"/>
      <c r="H17" s="967"/>
      <c r="I17" s="967"/>
      <c r="J17" s="968"/>
      <c r="K17" s="14"/>
      <c r="L17" s="14"/>
      <c r="M17" s="14"/>
      <c r="N17" s="14"/>
      <c r="P17" s="14"/>
      <c r="Q17" s="14"/>
      <c r="R17" s="14"/>
    </row>
    <row r="18" spans="3:18" ht="23.55" customHeight="1" x14ac:dyDescent="0.25">
      <c r="D18" s="942" t="s">
        <v>8</v>
      </c>
      <c r="E18" s="943"/>
      <c r="F18" s="940"/>
      <c r="G18" s="940"/>
      <c r="H18" s="940"/>
      <c r="I18" s="940"/>
      <c r="J18" s="941"/>
      <c r="K18" s="14"/>
      <c r="L18" s="14"/>
      <c r="M18" s="14"/>
      <c r="N18" s="14"/>
      <c r="P18" s="14"/>
      <c r="Q18" s="14"/>
      <c r="R18" s="14"/>
    </row>
    <row r="19" spans="3:18" ht="24.6" customHeight="1" x14ac:dyDescent="0.25">
      <c r="D19" s="942" t="s">
        <v>9</v>
      </c>
      <c r="E19" s="943"/>
      <c r="F19" s="940">
        <v>2</v>
      </c>
      <c r="G19" s="940"/>
      <c r="H19" s="940"/>
      <c r="I19" s="940"/>
      <c r="J19" s="941"/>
      <c r="K19" s="14"/>
      <c r="L19" s="14"/>
      <c r="M19" s="14"/>
      <c r="N19" s="14"/>
      <c r="P19" s="14"/>
      <c r="Q19" s="14"/>
      <c r="R19" s="14"/>
    </row>
    <row r="20" spans="3:18" ht="24.6" customHeight="1" x14ac:dyDescent="0.25">
      <c r="D20" s="958" t="s">
        <v>10</v>
      </c>
      <c r="E20" s="959"/>
      <c r="F20" s="960"/>
      <c r="G20" s="961"/>
      <c r="H20" s="961"/>
      <c r="I20" s="961"/>
      <c r="J20" s="962"/>
      <c r="K20" s="14"/>
      <c r="L20" s="14"/>
      <c r="M20" s="14"/>
      <c r="N20" s="14"/>
      <c r="P20" s="14"/>
      <c r="Q20" s="14"/>
      <c r="R20" s="14"/>
    </row>
    <row r="21" spans="3:18" ht="19.95" customHeight="1" x14ac:dyDescent="0.25">
      <c r="D21" s="965" t="s">
        <v>11</v>
      </c>
      <c r="E21" s="966"/>
      <c r="F21" s="963"/>
      <c r="G21" s="963"/>
      <c r="H21" s="963"/>
      <c r="I21" s="963"/>
      <c r="J21" s="964"/>
      <c r="K21" s="14"/>
      <c r="L21" s="14"/>
      <c r="M21" s="14"/>
      <c r="N21" s="14"/>
      <c r="P21" s="14"/>
      <c r="Q21" s="14"/>
      <c r="R21" s="14"/>
    </row>
    <row r="22" spans="3:18" ht="19.95" customHeight="1" x14ac:dyDescent="0.25">
      <c r="D22" s="958" t="s">
        <v>12</v>
      </c>
      <c r="E22" s="959"/>
      <c r="F22" s="969">
        <v>0.1</v>
      </c>
      <c r="G22" s="970"/>
      <c r="H22" s="971"/>
      <c r="I22" s="977" t="str">
        <f>IF(OR(F22&gt;=10%,F22=""),"","Target set below 10% ▲")</f>
        <v/>
      </c>
      <c r="J22" s="978"/>
      <c r="K22" s="14"/>
      <c r="L22" s="14"/>
      <c r="M22" s="14"/>
      <c r="N22" s="14"/>
      <c r="P22" s="14"/>
      <c r="Q22" s="14"/>
      <c r="R22" s="14"/>
    </row>
    <row r="23" spans="3:18" ht="31.05" customHeight="1" x14ac:dyDescent="0.25">
      <c r="D23" s="979" t="s">
        <v>13</v>
      </c>
      <c r="E23" s="980"/>
      <c r="F23" s="972" t="s">
        <v>52</v>
      </c>
      <c r="G23" s="973"/>
      <c r="H23" s="974"/>
      <c r="I23" s="975" t="str">
        <f>IF(F23="Yes","Irreplaceable habitats at baseline, you must fill in the irreplaceable habitat tab ⚠",IF(F23="","You must specify if irreplaceable habitats are on-site at baseline ▲",""))</f>
        <v>Irreplaceable habitats at baseline, you must fill in the irreplaceable habitat tab ⚠</v>
      </c>
      <c r="J23" s="976"/>
      <c r="K23" s="14"/>
      <c r="L23" s="14"/>
      <c r="M23" s="14"/>
      <c r="N23" s="14"/>
      <c r="P23" s="14"/>
      <c r="Q23" s="14"/>
      <c r="R23" s="14"/>
    </row>
    <row r="24" spans="3:18" ht="37.049999999999997" customHeight="1" x14ac:dyDescent="0.25">
      <c r="D24" s="899" t="s">
        <v>14</v>
      </c>
      <c r="E24" s="900"/>
      <c r="F24" s="916">
        <f>'Detailed Results'!D21+'Irreplaceable Habitats'!S38</f>
        <v>46.795000000000009</v>
      </c>
      <c r="G24" s="917"/>
      <c r="H24" s="917"/>
      <c r="I24" s="600" t="s">
        <v>15</v>
      </c>
      <c r="J24" s="601">
        <f>'Irreplaceable Habitats'!M32</f>
        <v>0</v>
      </c>
      <c r="K24" s="14"/>
      <c r="L24" s="14"/>
      <c r="M24" s="14"/>
      <c r="N24" s="14"/>
      <c r="P24" s="14"/>
      <c r="Q24" s="14"/>
      <c r="R24" s="14"/>
    </row>
    <row r="25" spans="3:18" ht="17.100000000000001" customHeight="1" x14ac:dyDescent="0.25">
      <c r="P25" s="14"/>
      <c r="Q25" s="14"/>
      <c r="R25" s="14"/>
    </row>
    <row r="26" spans="3:18" ht="14.1" customHeight="1" x14ac:dyDescent="0.25">
      <c r="P26" s="14"/>
      <c r="Q26" s="14"/>
      <c r="R26" s="14"/>
    </row>
    <row r="27" spans="3:18" ht="51" hidden="1" customHeight="1" thickBot="1" x14ac:dyDescent="0.3">
      <c r="D27" s="928" t="s">
        <v>16</v>
      </c>
      <c r="E27" s="929"/>
      <c r="F27" s="930"/>
      <c r="G27" s="930"/>
      <c r="H27" s="930"/>
      <c r="I27" s="931" t="str">
        <f>IF(F27="Yes", "Only acceptable in exceptionally rare circumstances, ensure any deviations have been agreed with the consenting body ⚠", "")</f>
        <v/>
      </c>
      <c r="J27" s="932"/>
      <c r="P27" s="14"/>
      <c r="Q27" s="14"/>
      <c r="R27" s="14"/>
    </row>
    <row r="28" spans="3:18" ht="16.5" customHeight="1" thickBot="1" x14ac:dyDescent="0.3">
      <c r="C28" s="14"/>
      <c r="K28" s="14"/>
      <c r="P28" s="14"/>
      <c r="Q28" s="14"/>
      <c r="R28" s="14"/>
    </row>
    <row r="29" spans="3:18" ht="20.25" customHeight="1" thickBot="1" x14ac:dyDescent="0.4">
      <c r="C29" s="14"/>
      <c r="D29" s="903" t="s">
        <v>17</v>
      </c>
      <c r="E29" s="904"/>
      <c r="F29" s="904"/>
      <c r="G29" s="904"/>
      <c r="H29" s="904"/>
      <c r="I29" s="904"/>
      <c r="J29" s="905"/>
      <c r="K29" s="14"/>
      <c r="L29" s="15"/>
      <c r="M29" s="15"/>
      <c r="N29" s="15"/>
      <c r="P29" s="14"/>
      <c r="Q29" s="14"/>
      <c r="R29" s="14"/>
    </row>
    <row r="30" spans="3:18" ht="20.25" customHeight="1" x14ac:dyDescent="0.35">
      <c r="C30" s="14"/>
      <c r="D30" s="912" t="s">
        <v>18</v>
      </c>
      <c r="E30" s="913"/>
      <c r="F30" s="914" t="s">
        <v>19</v>
      </c>
      <c r="G30" s="914"/>
      <c r="H30" s="914"/>
      <c r="I30" s="914"/>
      <c r="J30" s="915"/>
      <c r="K30" s="14"/>
      <c r="L30" s="15"/>
      <c r="M30" s="15"/>
      <c r="N30" s="15"/>
      <c r="P30" s="14"/>
      <c r="Q30" s="14"/>
      <c r="R30" s="14"/>
    </row>
    <row r="31" spans="3:18" ht="16.5" customHeight="1" x14ac:dyDescent="0.3">
      <c r="D31" s="908" t="s">
        <v>20</v>
      </c>
      <c r="E31" s="909"/>
      <c r="F31" s="910" t="s">
        <v>21</v>
      </c>
      <c r="G31" s="910"/>
      <c r="H31" s="910"/>
      <c r="I31" s="910"/>
      <c r="J31" s="911"/>
      <c r="P31" s="14"/>
      <c r="Q31" s="14"/>
      <c r="R31" s="14"/>
    </row>
    <row r="32" spans="3:18" ht="16.5" customHeight="1" x14ac:dyDescent="0.3">
      <c r="D32" s="935"/>
      <c r="E32" s="936"/>
      <c r="F32" s="937" t="s">
        <v>22</v>
      </c>
      <c r="G32" s="938"/>
      <c r="H32" s="938"/>
      <c r="I32" s="938"/>
      <c r="J32" s="939"/>
      <c r="P32" s="14"/>
      <c r="Q32" s="14"/>
      <c r="R32" s="14"/>
    </row>
    <row r="33" spans="4:18" ht="16.5" customHeight="1" x14ac:dyDescent="0.3">
      <c r="D33" s="901"/>
      <c r="E33" s="902"/>
      <c r="F33" s="906" t="s">
        <v>23</v>
      </c>
      <c r="G33" s="906"/>
      <c r="H33" s="906"/>
      <c r="I33" s="906"/>
      <c r="J33" s="907"/>
      <c r="K33" s="14"/>
      <c r="L33" s="14"/>
      <c r="M33" s="14"/>
      <c r="N33" s="14"/>
      <c r="P33" s="14"/>
      <c r="Q33" s="14"/>
      <c r="R33" s="14"/>
    </row>
    <row r="34" spans="4:18" ht="16.5" customHeight="1" x14ac:dyDescent="0.3">
      <c r="D34" s="933"/>
      <c r="E34" s="934"/>
      <c r="F34" s="906" t="s">
        <v>24</v>
      </c>
      <c r="G34" s="906"/>
      <c r="H34" s="906"/>
      <c r="I34" s="906"/>
      <c r="J34" s="907"/>
      <c r="K34" s="14"/>
      <c r="L34" s="14"/>
      <c r="M34" s="14"/>
      <c r="N34" s="14"/>
      <c r="P34" s="14"/>
      <c r="Q34" s="14"/>
      <c r="R34" s="14"/>
    </row>
    <row r="35" spans="4:18" ht="16.5" customHeight="1" thickBot="1" x14ac:dyDescent="0.35">
      <c r="D35" s="924"/>
      <c r="E35" s="925"/>
      <c r="F35" s="926" t="s">
        <v>25</v>
      </c>
      <c r="G35" s="926"/>
      <c r="H35" s="926"/>
      <c r="I35" s="926"/>
      <c r="J35" s="927"/>
      <c r="K35" s="14"/>
      <c r="L35" s="14"/>
      <c r="M35" s="14"/>
      <c r="N35" s="14"/>
      <c r="P35" s="14"/>
      <c r="Q35" s="14"/>
      <c r="R35" s="14"/>
    </row>
    <row r="36" spans="4:18" ht="16.5" customHeight="1" x14ac:dyDescent="0.25">
      <c r="D36" s="14"/>
      <c r="E36" s="14"/>
      <c r="F36" s="14"/>
      <c r="G36" s="14"/>
      <c r="H36" s="14"/>
      <c r="I36" s="14"/>
      <c r="J36" s="14"/>
      <c r="K36" s="14"/>
      <c r="L36" s="14"/>
      <c r="M36" s="14"/>
      <c r="N36" s="14"/>
      <c r="P36" s="14"/>
      <c r="Q36" s="14"/>
      <c r="R36" s="14"/>
    </row>
    <row r="37" spans="4:18" ht="24" customHeight="1" x14ac:dyDescent="0.25">
      <c r="D37" s="14"/>
      <c r="E37" s="14"/>
      <c r="F37" s="14"/>
      <c r="G37" s="14"/>
      <c r="H37" s="14"/>
      <c r="I37" s="14"/>
      <c r="J37" s="14"/>
      <c r="K37" s="14"/>
      <c r="L37" s="14"/>
      <c r="M37" s="14"/>
      <c r="N37" s="14"/>
      <c r="P37" s="14"/>
      <c r="Q37" s="14"/>
      <c r="R37" s="14"/>
    </row>
    <row r="38" spans="4:18" ht="15.6" x14ac:dyDescent="0.25">
      <c r="D38" s="14"/>
      <c r="E38" s="14"/>
      <c r="F38" s="14"/>
      <c r="G38" s="14"/>
      <c r="H38" s="14"/>
      <c r="I38" s="14"/>
      <c r="J38" s="14"/>
      <c r="K38" s="14"/>
      <c r="L38" s="14"/>
      <c r="M38" s="14"/>
      <c r="N38" s="14"/>
      <c r="P38" s="14"/>
      <c r="Q38" s="14"/>
      <c r="R38" s="14"/>
    </row>
    <row r="39" spans="4:18" ht="15.6" x14ac:dyDescent="0.25">
      <c r="D39" s="14"/>
      <c r="E39" s="14"/>
      <c r="F39" s="14"/>
      <c r="G39" s="14"/>
      <c r="H39" s="14"/>
      <c r="I39" s="14"/>
      <c r="J39" s="14"/>
      <c r="K39" s="14"/>
      <c r="L39" s="14"/>
      <c r="M39" s="14"/>
      <c r="N39" s="14"/>
      <c r="O39" s="14"/>
      <c r="P39" s="14"/>
      <c r="Q39" s="14"/>
      <c r="R39" s="14"/>
    </row>
    <row r="40" spans="4:18" ht="15.6" x14ac:dyDescent="0.25">
      <c r="D40" s="14"/>
      <c r="E40" s="14"/>
      <c r="F40" s="14"/>
      <c r="G40" s="14"/>
      <c r="H40" s="14"/>
      <c r="I40" s="14"/>
      <c r="J40" s="14"/>
      <c r="K40" s="14"/>
      <c r="L40" s="14"/>
      <c r="M40" s="14"/>
      <c r="N40" s="14"/>
      <c r="O40" s="14"/>
      <c r="P40" s="14"/>
      <c r="Q40" s="14"/>
      <c r="R40" s="14"/>
    </row>
    <row r="41" spans="4:18" ht="15.6" x14ac:dyDescent="0.25">
      <c r="D41" s="14"/>
      <c r="E41" s="14"/>
      <c r="F41" s="14"/>
      <c r="G41" s="14"/>
      <c r="H41" s="14"/>
      <c r="I41" s="14"/>
      <c r="J41" s="14"/>
      <c r="K41" s="14"/>
      <c r="L41" s="14"/>
      <c r="M41" s="14"/>
      <c r="N41" s="14"/>
      <c r="O41" s="14"/>
      <c r="P41" s="14"/>
      <c r="Q41" s="14"/>
      <c r="R41" s="14"/>
    </row>
    <row r="42" spans="4:18" ht="15.6" x14ac:dyDescent="0.25">
      <c r="D42" s="14"/>
      <c r="E42" s="14"/>
      <c r="F42" s="14"/>
      <c r="G42" s="14"/>
      <c r="H42" s="14"/>
      <c r="I42" s="14"/>
      <c r="J42" s="14"/>
      <c r="K42" s="14"/>
      <c r="L42" s="14"/>
      <c r="M42" s="14"/>
      <c r="N42" s="14"/>
      <c r="O42" s="14"/>
      <c r="P42" s="14"/>
      <c r="Q42" s="14"/>
      <c r="R42" s="14"/>
    </row>
    <row r="43" spans="4:18" ht="15.6" x14ac:dyDescent="0.25">
      <c r="D43" s="14"/>
      <c r="E43" s="14"/>
      <c r="F43" s="14"/>
      <c r="G43" s="14"/>
      <c r="H43" s="14"/>
      <c r="I43" s="14"/>
      <c r="J43" s="14"/>
      <c r="K43" s="14"/>
      <c r="L43" s="14"/>
      <c r="M43" s="14"/>
      <c r="N43" s="14"/>
      <c r="O43" s="14"/>
      <c r="P43" s="14"/>
      <c r="Q43" s="14"/>
      <c r="R43" s="14"/>
    </row>
    <row r="44" spans="4:18" ht="15.6" x14ac:dyDescent="0.25">
      <c r="D44" s="14"/>
      <c r="E44" s="14"/>
      <c r="F44" s="14"/>
      <c r="G44" s="14"/>
      <c r="H44" s="14"/>
      <c r="I44" s="14"/>
      <c r="J44" s="14"/>
      <c r="K44" s="14"/>
      <c r="L44" s="14"/>
      <c r="M44" s="14"/>
      <c r="N44" s="14"/>
      <c r="O44" s="14"/>
      <c r="P44" s="14"/>
      <c r="Q44" s="14"/>
      <c r="R44" s="14"/>
    </row>
    <row r="45" spans="4:18" ht="15.6" x14ac:dyDescent="0.25">
      <c r="D45" s="14"/>
      <c r="E45" s="14"/>
      <c r="F45" s="14"/>
      <c r="G45" s="14"/>
      <c r="H45" s="14"/>
      <c r="I45" s="14"/>
      <c r="J45" s="14"/>
      <c r="K45" s="14"/>
      <c r="L45" s="14"/>
      <c r="M45" s="14"/>
      <c r="N45" s="14"/>
      <c r="O45" s="14"/>
      <c r="P45" s="14"/>
      <c r="Q45" s="14"/>
      <c r="R45" s="14"/>
    </row>
    <row r="46" spans="4:18" ht="15.6" x14ac:dyDescent="0.25">
      <c r="D46" s="14"/>
      <c r="E46" s="14"/>
      <c r="F46" s="14"/>
      <c r="G46" s="14"/>
      <c r="H46" s="14"/>
      <c r="I46" s="14"/>
      <c r="J46" s="14"/>
      <c r="K46" s="14"/>
      <c r="L46" s="14"/>
      <c r="M46" s="14"/>
      <c r="N46" s="14"/>
      <c r="O46" s="14"/>
      <c r="P46" s="14"/>
      <c r="Q46" s="14"/>
      <c r="R46" s="14"/>
    </row>
    <row r="47" spans="4:18" ht="15.6" x14ac:dyDescent="0.25">
      <c r="D47" s="14"/>
      <c r="E47" s="14"/>
      <c r="F47" s="14"/>
      <c r="G47" s="14"/>
      <c r="H47" s="14"/>
      <c r="I47" s="14"/>
      <c r="J47" s="14"/>
      <c r="K47" s="14"/>
      <c r="L47" s="14"/>
      <c r="M47" s="14"/>
      <c r="N47" s="14"/>
      <c r="O47" s="14"/>
      <c r="P47" s="14"/>
      <c r="Q47" s="14"/>
      <c r="R47" s="14"/>
    </row>
    <row r="48" spans="4:18" ht="15.6" x14ac:dyDescent="0.25">
      <c r="D48" s="14"/>
      <c r="E48" s="14"/>
      <c r="F48" s="14"/>
      <c r="G48" s="14"/>
      <c r="H48" s="14"/>
      <c r="I48" s="14"/>
      <c r="J48" s="14"/>
      <c r="K48" s="14"/>
      <c r="L48" s="14"/>
      <c r="M48" s="14"/>
      <c r="N48" s="14"/>
      <c r="O48" s="14"/>
      <c r="P48" s="14"/>
      <c r="Q48" s="14"/>
      <c r="R48" s="14"/>
    </row>
    <row r="49" spans="4:18" ht="15.6" x14ac:dyDescent="0.25">
      <c r="D49" s="14"/>
      <c r="E49" s="14"/>
      <c r="F49" s="14"/>
      <c r="G49" s="14"/>
      <c r="H49" s="14"/>
      <c r="I49" s="14"/>
      <c r="J49" s="14"/>
      <c r="K49" s="14"/>
      <c r="L49" s="14"/>
      <c r="M49" s="14"/>
      <c r="N49" s="14"/>
      <c r="O49" s="14"/>
      <c r="P49" s="14"/>
      <c r="Q49" s="14"/>
      <c r="R49" s="14"/>
    </row>
    <row r="50" spans="4:18" ht="15.6" x14ac:dyDescent="0.25">
      <c r="D50" s="14"/>
      <c r="E50" s="14"/>
      <c r="F50" s="14"/>
      <c r="G50" s="14"/>
      <c r="H50" s="14"/>
      <c r="I50" s="14"/>
      <c r="J50" s="14"/>
      <c r="K50" s="14"/>
      <c r="L50" s="14"/>
      <c r="M50" s="14"/>
      <c r="N50" s="14"/>
      <c r="O50" s="14"/>
      <c r="P50" s="14"/>
      <c r="Q50" s="14"/>
      <c r="R50" s="14"/>
    </row>
    <row r="51" spans="4:18" ht="15.6" x14ac:dyDescent="0.25">
      <c r="D51" s="14"/>
      <c r="E51" s="14"/>
      <c r="F51" s="14"/>
      <c r="G51" s="14"/>
      <c r="H51" s="14"/>
      <c r="I51" s="14"/>
      <c r="J51" s="14"/>
      <c r="K51" s="14"/>
      <c r="L51" s="14"/>
      <c r="M51" s="14"/>
      <c r="N51" s="14"/>
      <c r="O51" s="14"/>
      <c r="P51" s="14"/>
      <c r="Q51" s="14"/>
      <c r="R51" s="14"/>
    </row>
    <row r="52" spans="4:18" ht="15.6" x14ac:dyDescent="0.25">
      <c r="D52" s="14"/>
      <c r="E52" s="14"/>
      <c r="F52" s="14"/>
      <c r="G52" s="14"/>
      <c r="H52" s="14"/>
      <c r="I52" s="14"/>
      <c r="J52" s="14"/>
      <c r="K52" s="14"/>
      <c r="L52" s="14"/>
      <c r="M52" s="14"/>
      <c r="N52" s="14"/>
      <c r="O52" s="14"/>
      <c r="P52" s="14"/>
      <c r="Q52" s="14"/>
      <c r="R52" s="14"/>
    </row>
    <row r="53" spans="4:18" ht="21" customHeight="1" x14ac:dyDescent="0.25">
      <c r="D53" s="14"/>
      <c r="E53" s="14"/>
      <c r="F53" s="14"/>
      <c r="G53" s="14"/>
      <c r="H53" s="14"/>
      <c r="I53" s="14"/>
      <c r="J53" s="14"/>
      <c r="K53" s="14"/>
      <c r="L53" s="14"/>
      <c r="M53" s="14"/>
      <c r="N53" s="14"/>
      <c r="O53" s="14"/>
      <c r="P53" s="14"/>
      <c r="Q53" s="14"/>
      <c r="R53" s="14"/>
    </row>
    <row r="54" spans="4:18" ht="16.2" thickBot="1" x14ac:dyDescent="0.3">
      <c r="P54" s="14"/>
      <c r="Q54" s="14"/>
      <c r="R54" s="14"/>
    </row>
    <row r="55" spans="4:18" ht="14.4" thickBot="1" x14ac:dyDescent="0.3">
      <c r="D55" s="922" t="s">
        <v>26</v>
      </c>
      <c r="E55" s="923"/>
      <c r="F55" s="918"/>
      <c r="G55" s="919"/>
      <c r="I55" s="920" t="s">
        <v>27</v>
      </c>
      <c r="J55" s="921"/>
      <c r="K55" s="918"/>
      <c r="L55" s="918"/>
      <c r="M55" s="918"/>
      <c r="N55" s="918"/>
      <c r="O55" s="919"/>
    </row>
    <row r="56" spans="4:18" ht="13.8" x14ac:dyDescent="0.25"/>
    <row r="57" spans="4:18" ht="13.8" x14ac:dyDescent="0.25"/>
    <row r="58" spans="4:18" ht="13.8" x14ac:dyDescent="0.25"/>
    <row r="59" spans="4:18" ht="6" customHeight="1" x14ac:dyDescent="0.25"/>
    <row r="60" spans="4:18" ht="13.8" x14ac:dyDescent="0.25"/>
    <row r="61" spans="4:18" ht="13.8" x14ac:dyDescent="0.25"/>
    <row r="62" spans="4:18" ht="13.8" x14ac:dyDescent="0.25"/>
    <row r="63" spans="4:18" ht="63.75" customHeight="1" x14ac:dyDescent="0.25"/>
    <row r="64" spans="4:18" ht="105.75" customHeight="1" x14ac:dyDescent="0.25"/>
    <row r="65" spans="4:15" ht="48.75" customHeight="1" thickBot="1" x14ac:dyDescent="0.3"/>
    <row r="66" spans="4:15" ht="16.5" customHeight="1" thickBot="1" x14ac:dyDescent="0.3">
      <c r="D66" s="920" t="s">
        <v>28</v>
      </c>
      <c r="E66" s="921"/>
      <c r="F66" s="918"/>
      <c r="G66" s="919"/>
      <c r="I66" s="920" t="s">
        <v>29</v>
      </c>
      <c r="J66" s="921"/>
      <c r="K66" s="918"/>
      <c r="L66" s="918"/>
      <c r="M66" s="918"/>
      <c r="N66" s="918"/>
      <c r="O66" s="919"/>
    </row>
    <row r="67" spans="4:15" ht="105.75" customHeight="1" x14ac:dyDescent="0.25"/>
    <row r="68" spans="4:15" ht="105.75" customHeight="1" x14ac:dyDescent="0.25"/>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2:E22"/>
    <mergeCell ref="F22:H22"/>
    <mergeCell ref="F23:H23"/>
    <mergeCell ref="I23:J23"/>
    <mergeCell ref="I22:J22"/>
    <mergeCell ref="D23:E23"/>
    <mergeCell ref="D20:E20"/>
    <mergeCell ref="F20:J20"/>
    <mergeCell ref="F21:J21"/>
    <mergeCell ref="D17:E17"/>
    <mergeCell ref="D21:E21"/>
    <mergeCell ref="F18:J18"/>
    <mergeCell ref="F19:J19"/>
    <mergeCell ref="F17:J17"/>
    <mergeCell ref="D18:E18"/>
    <mergeCell ref="D19:E19"/>
    <mergeCell ref="F1:J1"/>
    <mergeCell ref="K1:P1"/>
    <mergeCell ref="F3:Q4"/>
    <mergeCell ref="D11:E11"/>
    <mergeCell ref="F11:J11"/>
    <mergeCell ref="E8:J8"/>
    <mergeCell ref="D9:J10"/>
    <mergeCell ref="D12:E12"/>
    <mergeCell ref="F12:J12"/>
    <mergeCell ref="F13:J13"/>
    <mergeCell ref="F14:J14"/>
    <mergeCell ref="F15:J15"/>
    <mergeCell ref="F16:J16"/>
    <mergeCell ref="D13:E13"/>
    <mergeCell ref="D14:E14"/>
    <mergeCell ref="D15:E15"/>
    <mergeCell ref="D16:E16"/>
    <mergeCell ref="D35:E35"/>
    <mergeCell ref="F35:J35"/>
    <mergeCell ref="D27:E27"/>
    <mergeCell ref="F27:H27"/>
    <mergeCell ref="I27:J27"/>
    <mergeCell ref="D34:E34"/>
    <mergeCell ref="F34:J34"/>
    <mergeCell ref="D32:E32"/>
    <mergeCell ref="F32:J32"/>
    <mergeCell ref="K55:O55"/>
    <mergeCell ref="D66:E66"/>
    <mergeCell ref="F66:G66"/>
    <mergeCell ref="I66:J66"/>
    <mergeCell ref="K66:O66"/>
    <mergeCell ref="D55:E55"/>
    <mergeCell ref="F55:G55"/>
    <mergeCell ref="I55:J55"/>
    <mergeCell ref="D24:E24"/>
    <mergeCell ref="D33:E33"/>
    <mergeCell ref="D29:J29"/>
    <mergeCell ref="F33:J33"/>
    <mergeCell ref="D31:E31"/>
    <mergeCell ref="F31:J31"/>
    <mergeCell ref="D30:E30"/>
    <mergeCell ref="F30:J30"/>
    <mergeCell ref="F24:H24"/>
  </mergeCells>
  <conditionalFormatting sqref="I22">
    <cfRule type="containsText" dxfId="961" priority="12" operator="containsText" text="▲">
      <formula>NOT(ISERROR(SEARCH("▲",I22)))</formula>
    </cfRule>
  </conditionalFormatting>
  <conditionalFormatting sqref="F27 F23:F24">
    <cfRule type="containsText" dxfId="960" priority="10" operator="containsText" text="No">
      <formula>NOT(ISERROR(SEARCH("No",F23)))</formula>
    </cfRule>
    <cfRule type="containsText" dxfId="959" priority="11" operator="containsText" text="Yes">
      <formula>NOT(ISERROR(SEARCH("Yes",F23)))</formula>
    </cfRule>
  </conditionalFormatting>
  <conditionalFormatting sqref="I23">
    <cfRule type="containsText" dxfId="958" priority="8" operator="containsText" text="tab">
      <formula>NOT(ISERROR(SEARCH("tab",I23)))</formula>
    </cfRule>
    <cfRule type="containsText" dxfId="957" priority="9" operator="containsText" text="▲">
      <formula>NOT(ISERROR(SEARCH("▲",I23)))</formula>
    </cfRule>
  </conditionalFormatting>
  <conditionalFormatting sqref="I27 I24">
    <cfRule type="containsText" dxfId="956" priority="6" operator="containsText" text="tab">
      <formula>NOT(ISERROR(SEARCH("tab",I24)))</formula>
    </cfRule>
    <cfRule type="containsText" dxfId="955" priority="7" operator="containsText" text="▲">
      <formula>NOT(ISERROR(SEARCH("▲",I24)))</formula>
    </cfRule>
  </conditionalFormatting>
  <conditionalFormatting sqref="J24">
    <cfRule type="containsText" dxfId="954" priority="2" operator="containsText" text="tab">
      <formula>NOT(ISERROR(SEARCH("tab",J24)))</formula>
    </cfRule>
    <cfRule type="containsText" dxfId="953" priority="3" operator="containsText" text="▲">
      <formula>NOT(ISERROR(SEARCH("▲",J24)))</formula>
    </cfRule>
  </conditionalFormatting>
  <conditionalFormatting sqref="I27:J27">
    <cfRule type="containsBlanks" dxfId="952" priority="1">
      <formula>LEN(TRIM(I27))=0</formula>
    </cfRule>
  </conditionalFormatting>
  <dataValidations count="2">
    <dataValidation type="list" allowBlank="1" showInputMessage="1" showErrorMessage="1" sqref="F23" xr:uid="{850923A2-20C1-4D2F-B771-01F4FEB35E59}">
      <formula1>"Yes, No"</formula1>
    </dataValidation>
    <dataValidation type="list" showInputMessage="1" showErrorMessage="1" sqref="F27:H27" xr:uid="{6BB539B8-7713-4BB6-85D9-6B1282E3766C}">
      <formula1>"Yes, No"</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663300"/>
  </sheetPr>
  <dimension ref="A1:AG268"/>
  <sheetViews>
    <sheetView showGridLines="0" zoomScale="80" zoomScaleNormal="80" workbookViewId="0">
      <pane ySplit="11" topLeftCell="A12" activePane="bottomLeft" state="frozen"/>
      <selection pane="bottomLeft" activeCell="A13" sqref="A13"/>
    </sheetView>
  </sheetViews>
  <sheetFormatPr defaultColWidth="0" defaultRowHeight="0" customHeight="1" zeroHeight="1" x14ac:dyDescent="0.25"/>
  <cols>
    <col min="1" max="1" width="2.77734375" style="30" customWidth="1"/>
    <col min="2" max="2" width="14.21875" style="30" customWidth="1"/>
    <col min="3" max="3" width="10.5546875" style="30" customWidth="1"/>
    <col min="4" max="4" width="62.77734375" style="30" customWidth="1"/>
    <col min="5" max="5" width="10.44140625" style="30" customWidth="1"/>
    <col min="6" max="6" width="18.77734375" style="30" customWidth="1"/>
    <col min="7" max="7" width="10.5546875" style="30" customWidth="1"/>
    <col min="8" max="8" width="12.5546875" style="30" bestFit="1" customWidth="1"/>
    <col min="9" max="9" width="8.77734375" style="30" customWidth="1"/>
    <col min="10" max="10" width="41.77734375" style="30" customWidth="1"/>
    <col min="11" max="11" width="16.77734375" style="30" customWidth="1"/>
    <col min="12" max="12" width="12.77734375" style="30" customWidth="1"/>
    <col min="13" max="13" width="19.44140625" style="30" customWidth="1"/>
    <col min="14" max="14" width="16.44140625" style="30" customWidth="1"/>
    <col min="15" max="15" width="21.77734375" style="30" customWidth="1"/>
    <col min="16" max="16" width="33.21875" style="30" customWidth="1"/>
    <col min="17" max="17" width="19.21875" style="30" customWidth="1"/>
    <col min="18" max="18" width="15.21875" style="30" customWidth="1"/>
    <col min="19" max="19" width="13.44140625" style="30" customWidth="1"/>
    <col min="20" max="20" width="18.44140625" style="30" customWidth="1"/>
    <col min="21" max="21" width="13.77734375" style="30" customWidth="1"/>
    <col min="22" max="22" width="11.77734375" style="30" customWidth="1"/>
    <col min="23" max="23" width="12.77734375" style="30" customWidth="1"/>
    <col min="24" max="24" width="42.44140625" style="30" customWidth="1"/>
    <col min="25" max="25" width="43.21875" style="30" customWidth="1"/>
    <col min="26" max="26" width="12.77734375" style="30" customWidth="1"/>
    <col min="27" max="31" width="8.77734375" style="30" customWidth="1"/>
    <col min="32" max="32" width="8.77734375" style="30" hidden="1" customWidth="1"/>
    <col min="33" max="33" width="15.77734375" style="30" hidden="1" customWidth="1"/>
    <col min="34" max="16384" width="8.77734375" style="30" hidden="1"/>
  </cols>
  <sheetData>
    <row r="1" spans="2:33" ht="15.75" customHeight="1" thickBot="1" x14ac:dyDescent="0.3"/>
    <row r="2" spans="2:33" ht="21.6" customHeight="1" thickBot="1" x14ac:dyDescent="0.35">
      <c r="B2" s="1567" t="str">
        <f>CONCATENATE("Project Name:", " ", Start!F12, "     ", "Map Reference:", " ", Start!K55)</f>
        <v xml:space="preserve">Project Name: Grove Farm Solar     Map Reference: </v>
      </c>
      <c r="C2" s="1568"/>
      <c r="D2" s="1569"/>
      <c r="F2" s="1437" t="s">
        <v>380</v>
      </c>
      <c r="G2" s="1438"/>
      <c r="H2" s="1438"/>
      <c r="I2" s="1438"/>
      <c r="J2" s="1439"/>
    </row>
    <row r="3" spans="2:33" ht="15" customHeight="1" x14ac:dyDescent="0.25">
      <c r="B3" s="1521" t="str">
        <f ca="1">MID(CELL("filename",A1),FIND("]",CELL("filename",A1))+1,256)</f>
        <v>B-2 On-Site Hedge Creation</v>
      </c>
      <c r="C3" s="1522"/>
      <c r="D3" s="1523"/>
      <c r="F3" s="1488" t="s">
        <v>263</v>
      </c>
      <c r="G3" s="1489"/>
      <c r="H3" s="1489"/>
      <c r="I3" s="1508">
        <f>'Headline Results'!H48</f>
        <v>16.669627715952004</v>
      </c>
      <c r="J3" s="1509"/>
      <c r="M3" s="1484" t="str">
        <f>IF(OR(COUNTIF($M$12:M259,"*30+*")&gt;0,COUNTIF($Q$12:Q259,"*30+*")&gt;0),"Note; Habitat selected has a time to target condition greater than 30 years. Non standard agreement may be required. ⚠","")</f>
        <v/>
      </c>
      <c r="N3" s="1484"/>
      <c r="O3" s="1484"/>
      <c r="P3" s="1484"/>
      <c r="Q3" s="1484"/>
      <c r="R3" s="1484"/>
    </row>
    <row r="4" spans="2:33" ht="15.75" customHeight="1" thickBot="1" x14ac:dyDescent="0.3">
      <c r="B4" s="1524"/>
      <c r="C4" s="1525"/>
      <c r="D4" s="1526"/>
      <c r="F4" s="1583" t="s">
        <v>265</v>
      </c>
      <c r="G4" s="1584"/>
      <c r="H4" s="1584"/>
      <c r="I4" s="1554">
        <f>'Headline Results'!H52</f>
        <v>1.0264549086177341</v>
      </c>
      <c r="J4" s="1555"/>
      <c r="M4" s="1484"/>
      <c r="N4" s="1484"/>
      <c r="O4" s="1484"/>
      <c r="P4" s="1484"/>
      <c r="Q4" s="1484"/>
      <c r="R4" s="1484"/>
    </row>
    <row r="5" spans="2:33" ht="15.75" customHeight="1" thickBot="1" x14ac:dyDescent="0.3">
      <c r="F5" s="1582" t="s">
        <v>267</v>
      </c>
      <c r="G5" s="1556"/>
      <c r="H5" s="1556"/>
      <c r="I5" s="1556" t="str" cm="1">
        <f t="array" ref="I5">IF(OR('Trading Summary Hedgerows'!G5:H8="No ▲"), "No - check trading summary ▲", "Yes ✓")</f>
        <v>Yes ✓</v>
      </c>
      <c r="J5" s="1557"/>
      <c r="M5" s="1484"/>
      <c r="N5" s="1484"/>
      <c r="O5" s="1484"/>
      <c r="P5" s="1484"/>
      <c r="Q5" s="1484"/>
      <c r="R5" s="1484"/>
    </row>
    <row r="6" spans="2:33" ht="15.75" customHeight="1" x14ac:dyDescent="0.25">
      <c r="M6" s="312"/>
      <c r="N6" s="312"/>
      <c r="O6" s="312"/>
      <c r="P6" s="312"/>
      <c r="Q6" s="312"/>
    </row>
    <row r="7" spans="2:33" ht="15.75" customHeight="1" x14ac:dyDescent="0.25">
      <c r="B7" s="102"/>
      <c r="C7" s="102"/>
      <c r="M7" s="312"/>
      <c r="N7" s="312"/>
      <c r="O7" s="312"/>
      <c r="P7" s="312"/>
      <c r="Q7" s="312"/>
    </row>
    <row r="8" spans="2:33" ht="13.8" x14ac:dyDescent="0.25"/>
    <row r="9" spans="2:33" ht="19.95" customHeight="1" thickBot="1" x14ac:dyDescent="0.3"/>
    <row r="10" spans="2:33" ht="44.1" customHeight="1" thickBot="1" x14ac:dyDescent="0.3">
      <c r="B10" s="102"/>
      <c r="C10" s="102"/>
      <c r="D10" s="1561" t="s">
        <v>389</v>
      </c>
      <c r="E10" s="1563"/>
      <c r="F10" s="1561" t="s">
        <v>269</v>
      </c>
      <c r="G10" s="1563"/>
      <c r="H10" s="1561" t="s">
        <v>357</v>
      </c>
      <c r="I10" s="1563"/>
      <c r="J10" s="1561" t="s">
        <v>271</v>
      </c>
      <c r="K10" s="1562"/>
      <c r="L10" s="1563"/>
      <c r="M10" s="1561" t="s">
        <v>314</v>
      </c>
      <c r="N10" s="1562"/>
      <c r="O10" s="1562"/>
      <c r="P10" s="1562"/>
      <c r="Q10" s="1562"/>
      <c r="R10" s="1563"/>
      <c r="S10" s="1561" t="s">
        <v>337</v>
      </c>
      <c r="T10" s="1562"/>
      <c r="U10" s="1562"/>
      <c r="V10" s="1563"/>
      <c r="W10" s="1520" t="s">
        <v>390</v>
      </c>
      <c r="X10" s="1577" t="s">
        <v>276</v>
      </c>
      <c r="Y10" s="1574"/>
    </row>
    <row r="11" spans="2:33" ht="42" thickBot="1" x14ac:dyDescent="0.3">
      <c r="B11" s="140" t="s">
        <v>339</v>
      </c>
      <c r="C11" s="144" t="s">
        <v>391</v>
      </c>
      <c r="D11" s="132" t="s">
        <v>33</v>
      </c>
      <c r="E11" s="861" t="s">
        <v>34</v>
      </c>
      <c r="F11" s="862" t="s">
        <v>269</v>
      </c>
      <c r="G11" s="752" t="s">
        <v>286</v>
      </c>
      <c r="H11" s="132" t="s">
        <v>270</v>
      </c>
      <c r="I11" s="752" t="s">
        <v>286</v>
      </c>
      <c r="J11" s="132" t="s">
        <v>271</v>
      </c>
      <c r="K11" s="811" t="s">
        <v>271</v>
      </c>
      <c r="L11" s="752" t="s">
        <v>317</v>
      </c>
      <c r="M11" s="132" t="s">
        <v>392</v>
      </c>
      <c r="N11" s="811" t="s">
        <v>319</v>
      </c>
      <c r="O11" s="811" t="s">
        <v>320</v>
      </c>
      <c r="P11" s="811" t="s">
        <v>321</v>
      </c>
      <c r="Q11" s="811" t="s">
        <v>322</v>
      </c>
      <c r="R11" s="752" t="s">
        <v>323</v>
      </c>
      <c r="S11" s="132" t="s">
        <v>324</v>
      </c>
      <c r="T11" s="811" t="s">
        <v>1679</v>
      </c>
      <c r="U11" s="811" t="s">
        <v>326</v>
      </c>
      <c r="V11" s="752" t="s">
        <v>327</v>
      </c>
      <c r="W11" s="1581"/>
      <c r="X11" s="126" t="s">
        <v>295</v>
      </c>
      <c r="Y11" s="861" t="s">
        <v>296</v>
      </c>
      <c r="Z11" s="48" t="s">
        <v>297</v>
      </c>
      <c r="AG11" s="101" t="s">
        <v>280</v>
      </c>
    </row>
    <row r="12" spans="2:33" ht="69" x14ac:dyDescent="0.25">
      <c r="B12" s="291">
        <v>1</v>
      </c>
      <c r="C12" s="166"/>
      <c r="D12" s="63" t="s">
        <v>171</v>
      </c>
      <c r="E12" s="53">
        <v>2.4900000000000002</v>
      </c>
      <c r="F12" s="411" t="str">
        <f>IF(D12="","",VLOOKUP(D12,'G-6 Hedgerow Data'!$B$2:$AG$15,2,FALSE))</f>
        <v>Medium</v>
      </c>
      <c r="G12" s="363">
        <f>IF(D12="","",VLOOKUP(D12,'G-6 Hedgerow Data'!$B$2:$AG$15,3,FALSE))</f>
        <v>4</v>
      </c>
      <c r="H12" s="114" t="s">
        <v>67</v>
      </c>
      <c r="I12" s="363">
        <f>IFERROR(VLOOKUP(H12,'G-1 All Habitats'!$Z$2:$AA$9,2,FALSE),"")</f>
        <v>2</v>
      </c>
      <c r="J12" s="114" t="s">
        <v>1034</v>
      </c>
      <c r="K12" s="370" t="str">
        <f>IF(J12="","",IF(VLOOKUP(J12,'G-3 Multipliers'!$L$3:$N$6,2,FALSE)=0,"Spatial Data Missing ⚠",VLOOKUP(J12,'G-3 Multipliers'!$L$3:$N$6,2,FALSE)))</f>
        <v>Low Strategic Significance</v>
      </c>
      <c r="L12" s="368">
        <f>IF(J12="","",IF(VLOOKUP(J12,'G-3 Multipliers'!$L$3:$N$6,3,FALSE)=0,"Spatial Data Missing ⚠",VLOOKUP(J12,'G-3 Multipliers'!$L$3:$N$6,3,FALSE)))</f>
        <v>1</v>
      </c>
      <c r="M12" s="362">
        <f>IF(OR(D12="",H12=""),"",(INDEX('G-6 Hedgerow Data'!$E$3:$I$15,MATCH(D12,'G-6 Hedgerow Data'!$B$3:$B$15,0),MATCH(H12,'G-6 Hedgerow Data'!$E$2:$I$2,0))))</f>
        <v>5</v>
      </c>
      <c r="N12" s="159">
        <v>0</v>
      </c>
      <c r="O12" s="159">
        <v>0</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Standard time to target condition applied</v>
      </c>
      <c r="Q12" s="383">
        <f>IF(M12="","",IF(P12="Error -both advance and delayed habitat creation ▲","Check Data ⚠",IF(OR(N12="30+",N12="Habitat already in target condition"),0,IF(O12="30+","30+",IF(AND(M12="30+",OR(N12="",N12=0)),"30+",IF(AND(M12="30+",N12&gt;0),30-N12,IF(M12+O12&gt;30,"30+",IF(M12+O12-N12&gt;0,M12+O12-N12,IF(M12-N12&lt;0,0,M12+O12-N12)))))))))</f>
        <v>5</v>
      </c>
      <c r="R12" s="384">
        <f t="shared" ref="R12:R75" si="0">IF(M12="","",IF(Q12="Check Data ⚠","Check Data ⚠",VLOOKUP(Q12,TemporalMultipliers,3,FALSE)))</f>
        <v>0.83682870060000003</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16.669627715952004</v>
      </c>
      <c r="X12" s="117" t="s">
        <v>1721</v>
      </c>
      <c r="Y12" s="118"/>
      <c r="Z12" s="118"/>
      <c r="AG12" s="30" t="str">
        <f>IFERROR(INDEX('G-6 Hedgerow Data'!$BJ$3:$BJ$15,MATCH(D12,'G-6 Hedgerow Data'!$B$3:$B$15,0)),"")</f>
        <v>Hedgecond1</v>
      </c>
    </row>
    <row r="13" spans="2:33" ht="13.8" x14ac:dyDescent="0.25">
      <c r="B13" s="110">
        <v>2</v>
      </c>
      <c r="C13" s="166"/>
      <c r="D13" s="63"/>
      <c r="E13" s="53"/>
      <c r="F13" s="411" t="str">
        <f>IF(D13="","",VLOOKUP(D13,'G-6 Hedgerow Data'!$B$2:$AG$15,2,FALSE))</f>
        <v/>
      </c>
      <c r="G13" s="363" t="str">
        <f>IF(D13="","",VLOOKUP(D13,'G-6 Hedgerow Data'!$B$2:$AG$15,3,FALSE))</f>
        <v/>
      </c>
      <c r="H13" s="114"/>
      <c r="I13" s="363" t="str">
        <f>IFERROR(VLOOKUP(H13,'G-1 All Habitats'!$Z$2:$AA$9,2,FALSE),"")</f>
        <v/>
      </c>
      <c r="J13" s="114"/>
      <c r="K13" s="382" t="str">
        <f>IF(J13="","",IF(VLOOKUP(J13,'G-3 Multipliers'!$L$3:$N$6,2,FALSE)=0,"Spatial Data Missing ⚠",VLOOKUP(J13,'G-3 Multipliers'!$L$3:$N$6,2,FALSE)))</f>
        <v/>
      </c>
      <c r="L13" s="368" t="str">
        <f>IF(J13="","",IF(VLOOKUP(J13,'G-3 Multipliers'!$L$3:$N$6,3,FALSE)=0,"Spatial Data Missing ⚠",VLOOKUP(J13,'G-3 Multipliers'!$L$3:$N$6,3,FALSE)))</f>
        <v/>
      </c>
      <c r="M13" s="362" t="str">
        <f>IF(OR(D13="",H13=""),"",(INDEX('G-6 Hedgerow Data'!$E$3:$I$15,MATCH(D13,'G-6 Hedgerow Data'!$B$3:$B$15,0),MATCH(H13,'G-6 Hedgerow Data'!$E$2:$I$2,0))))</f>
        <v/>
      </c>
      <c r="N13" s="159"/>
      <c r="O13" s="159"/>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
      </c>
      <c r="Q13" s="383" t="str">
        <f t="shared" ref="Q13:Q76" si="2">IF(M13="","",IF(P13="Error -both advance and delayed habitat creation ▲","Check Data ⚠",IF(OR(N13="30+",N13="Habitat already in target condition"),0,IF(O13="30+","30+",IF(AND(M13="30+",OR(N13="",N13=0)),"30+",IF(AND(M13="30+",N13&gt;0),30-N13,IF(M13+O13&gt;30,"30+",IF(M13+O13-N13&gt;0,M13+O13-N13,IF(M13-N13&lt;0,0,M13+O13-N13)))))))))</f>
        <v/>
      </c>
      <c r="R13" s="384" t="str">
        <f t="shared" si="0"/>
        <v/>
      </c>
      <c r="S13" s="398" t="str">
        <f>IF(D13="","",VLOOKUP(D13,'G-6 Hedgerow Data'!$B$3:$AG$15,31,FALSE))</f>
        <v/>
      </c>
      <c r="T13" s="370" t="str">
        <f t="shared" ref="T13:T76" si="3">IF(D13="","",IF(Q13="Check Data ⚠","Check Data ⚠",IF(H13="","",IF($P13="Check details - Is there evidence that habitat has reached target condition? ⚠","Low Difficulty - only applicable if all habitat created before losses ⚠","Standard difficulty applied"))))</f>
        <v/>
      </c>
      <c r="U13" s="370" t="str">
        <f t="shared" ref="U13:U76" si="4">(IF(AND(T13="Standard difficulty applied",M13&gt;N13),S13,IF(AND(T13="Low Difficulty - only applicable if all habitat created before losses ⚠",Q13&lt;=0),"Low",S13)))</f>
        <v/>
      </c>
      <c r="V13" s="386" t="str">
        <f>IF(D13="","",VLOOKUP(S13,'G-3 Multipliers'!$P$3:$Q$6,2,FALSE))</f>
        <v/>
      </c>
      <c r="W13" s="390" t="str">
        <f t="shared" ref="W13:W76" si="5">IFERROR(E13*G13*I13*L13*R13*V13,"")</f>
        <v/>
      </c>
      <c r="X13" s="117"/>
      <c r="Y13" s="118"/>
      <c r="Z13" s="120"/>
      <c r="AG13" s="30" t="str">
        <f>IFERROR(INDEX('G-6 Hedgerow Data'!$BJ$3:$BJ$15,MATCH(D13,'G-6 Hedgerow Data'!$B$3:$B$15,0)),"")</f>
        <v/>
      </c>
    </row>
    <row r="14" spans="2:33" ht="13.8" x14ac:dyDescent="0.25">
      <c r="B14" s="110">
        <v>3</v>
      </c>
      <c r="C14" s="166"/>
      <c r="D14" s="63"/>
      <c r="E14" s="53"/>
      <c r="F14" s="411" t="str">
        <f>IF(D14="","",VLOOKUP(D14,'G-6 Hedgerow Data'!$B$2:$AG$15,2,FALSE))</f>
        <v/>
      </c>
      <c r="G14" s="363" t="str">
        <f>IF(D14="","",VLOOKUP(D14,'G-6 Hedgerow Data'!$B$2:$AG$15,3,FALSE))</f>
        <v/>
      </c>
      <c r="H14" s="114"/>
      <c r="I14" s="363" t="str">
        <f>IFERROR(VLOOKUP(H14,'G-1 All Habitats'!$Z$2:$AA$9,2,FALSE),"")</f>
        <v/>
      </c>
      <c r="J14" s="114"/>
      <c r="K14" s="382" t="str">
        <f>IF(J14="","",IF(VLOOKUP(J14,'G-3 Multipliers'!$L$3:$N$6,2,FALSE)=0,"Spatial Data Missing ⚠",VLOOKUP(J14,'G-3 Multipliers'!$L$3:$N$6,2,FALSE)))</f>
        <v/>
      </c>
      <c r="L14" s="368" t="str">
        <f>IF(J14="","",IF(VLOOKUP(J14,'G-3 Multipliers'!$L$3:$N$6,3,FALSE)=0,"Spatial Data Missing ⚠",VLOOKUP(J14,'G-3 Multipliers'!$L$3:$N$6,3,FALSE)))</f>
        <v/>
      </c>
      <c r="M14" s="362" t="str">
        <f>IF(OR(D14="",H14=""),"",(INDEX('G-6 Hedgerow Data'!$E$3:$I$15,MATCH(D14,'G-6 Hedgerow Data'!$B$3:$B$15,0),MATCH(H14,'G-6 Hedgerow Data'!$E$2:$I$2,0))))</f>
        <v/>
      </c>
      <c r="N14" s="159"/>
      <c r="O14" s="159"/>
      <c r="P14" s="370" t="str">
        <f t="shared" si="1"/>
        <v/>
      </c>
      <c r="Q14" s="383" t="str">
        <f t="shared" si="2"/>
        <v/>
      </c>
      <c r="R14" s="384" t="str">
        <f t="shared" si="0"/>
        <v/>
      </c>
      <c r="S14" s="398" t="str">
        <f>IF(D14="","",VLOOKUP(D14,'G-6 Hedgerow Data'!$B$3:$AG$15,31,FALSE))</f>
        <v/>
      </c>
      <c r="T14" s="370" t="str">
        <f t="shared" si="3"/>
        <v/>
      </c>
      <c r="U14" s="370" t="str">
        <f t="shared" si="4"/>
        <v/>
      </c>
      <c r="V14" s="386" t="str">
        <f>IF(D14="","",VLOOKUP(S14,'G-3 Multipliers'!$P$3:$Q$6,2,FALSE))</f>
        <v/>
      </c>
      <c r="W14" s="390" t="str">
        <f t="shared" si="5"/>
        <v/>
      </c>
      <c r="X14" s="117"/>
      <c r="Y14" s="118"/>
      <c r="Z14" s="120"/>
      <c r="AG14" s="30" t="str">
        <f>IFERROR(INDEX('G-6 Hedgerow Data'!$BJ$3:$BJ$15,MATCH(D14,'G-6 Hedgerow Data'!$B$3:$B$15,0)),"")</f>
        <v/>
      </c>
    </row>
    <row r="15" spans="2:33" ht="13.8" x14ac:dyDescent="0.25">
      <c r="B15" s="110">
        <v>4</v>
      </c>
      <c r="C15" s="166"/>
      <c r="D15" s="63"/>
      <c r="E15" s="53"/>
      <c r="F15" s="411" t="str">
        <f>IF(D15="","",VLOOKUP(D15,'G-6 Hedgerow Data'!$B$2:$AG$15,2,FALSE))</f>
        <v/>
      </c>
      <c r="G15" s="363" t="str">
        <f>IF(D15="","",VLOOKUP(D15,'G-6 Hedgerow Data'!$B$2:$AG$15,3,FALSE))</f>
        <v/>
      </c>
      <c r="H15" s="114"/>
      <c r="I15" s="363" t="str">
        <f>IFERROR(VLOOKUP(H15,'G-1 All Habitats'!$Z$2:$AA$9,2,FALSE),"")</f>
        <v/>
      </c>
      <c r="J15" s="114"/>
      <c r="K15" s="382" t="str">
        <f>IF(J15="","",IF(VLOOKUP(J15,'G-3 Multipliers'!$L$3:$N$6,2,FALSE)=0,"Spatial Data Missing ⚠",VLOOKUP(J15,'G-3 Multipliers'!$L$3:$N$6,2,FALSE)))</f>
        <v/>
      </c>
      <c r="L15" s="368" t="str">
        <f>IF(J15="","",IF(VLOOKUP(J15,'G-3 Multipliers'!$L$3:$N$6,3,FALSE)=0,"Spatial Data Missing ⚠",VLOOKUP(J15,'G-3 Multipliers'!$L$3:$N$6,3,FALSE)))</f>
        <v/>
      </c>
      <c r="M15" s="362" t="str">
        <f>IF(OR(D15="",H15=""),"",(INDEX('G-6 Hedgerow Data'!$E$3:$I$15,MATCH(D15,'G-6 Hedgerow Data'!$B$3:$B$15,0),MATCH(H15,'G-6 Hedgerow Data'!$E$2:$I$2,0))))</f>
        <v/>
      </c>
      <c r="N15" s="159"/>
      <c r="O15" s="159"/>
      <c r="P15" s="370" t="str">
        <f t="shared" si="1"/>
        <v/>
      </c>
      <c r="Q15" s="383" t="str">
        <f t="shared" si="2"/>
        <v/>
      </c>
      <c r="R15" s="384" t="str">
        <f t="shared" si="0"/>
        <v/>
      </c>
      <c r="S15" s="398" t="str">
        <f>IF(D15="","",VLOOKUP(D15,'G-6 Hedgerow Data'!$B$3:$AG$15,31,FALSE))</f>
        <v/>
      </c>
      <c r="T15" s="370" t="str">
        <f t="shared" si="3"/>
        <v/>
      </c>
      <c r="U15" s="370" t="str">
        <f t="shared" si="4"/>
        <v/>
      </c>
      <c r="V15" s="386" t="str">
        <f>IF(D15="","",VLOOKUP(S15,'G-3 Multipliers'!$P$3:$Q$6,2,FALSE))</f>
        <v/>
      </c>
      <c r="W15" s="390" t="str">
        <f t="shared" si="5"/>
        <v/>
      </c>
      <c r="X15" s="117"/>
      <c r="Y15" s="118"/>
      <c r="Z15" s="120"/>
      <c r="AG15" s="30" t="str">
        <f>IFERROR(INDEX('G-6 Hedgerow Data'!$BJ$3:$BJ$15,MATCH(D15,'G-6 Hedgerow Data'!$B$3:$B$15,0)),"")</f>
        <v/>
      </c>
    </row>
    <row r="16" spans="2:33" ht="13.8" x14ac:dyDescent="0.25">
      <c r="B16" s="110">
        <v>5</v>
      </c>
      <c r="C16" s="167"/>
      <c r="D16" s="159"/>
      <c r="E16" s="139"/>
      <c r="F16" s="411" t="str">
        <f>IF(D16="","",VLOOKUP(D16,'G-6 Hedgerow Data'!$B$2:$AG$15,2,FALSE))</f>
        <v/>
      </c>
      <c r="G16" s="363" t="str">
        <f>IF(D16="","",VLOOKUP(D16,'G-6 Hedgerow Data'!$B$2:$AG$15,3,FALSE))</f>
        <v/>
      </c>
      <c r="H16" s="122"/>
      <c r="I16" s="363" t="str">
        <f>IFERROR(VLOOKUP(H16,'G-1 All Habitats'!$Z$2:$AA$9,2,FALSE),"")</f>
        <v/>
      </c>
      <c r="J16" s="114"/>
      <c r="K16" s="382" t="str">
        <f>IF(J16="","",IF(VLOOKUP(J16,'G-3 Multipliers'!$L$3:$N$6,2,FALSE)=0,"Spatial Data Missing ⚠",VLOOKUP(J16,'G-3 Multipliers'!$L$3:$N$6,2,FALSE)))</f>
        <v/>
      </c>
      <c r="L16" s="368" t="str">
        <f>IF(J16="","",IF(VLOOKUP(J16,'G-3 Multipliers'!$L$3:$N$6,3,FALSE)=0,"Spatial Data Missing ⚠",VLOOKUP(J16,'G-3 Multipliers'!$L$3:$N$6,3,FALSE)))</f>
        <v/>
      </c>
      <c r="M16" s="362" t="str">
        <f>IF(OR(D16="",H16=""),"",(INDEX('G-6 Hedgerow Data'!$E$3:$I$15,MATCH(D16,'G-6 Hedgerow Data'!$B$3:$B$15,0),MATCH(H16,'G-6 Hedgerow Data'!$E$2:$I$2,0))))</f>
        <v/>
      </c>
      <c r="N16" s="159"/>
      <c r="O16" s="159"/>
      <c r="P16" s="370" t="str">
        <f t="shared" si="1"/>
        <v/>
      </c>
      <c r="Q16" s="383" t="str">
        <f t="shared" si="2"/>
        <v/>
      </c>
      <c r="R16" s="384" t="str">
        <f t="shared" si="0"/>
        <v/>
      </c>
      <c r="S16" s="398" t="str">
        <f>IF(D16="","",VLOOKUP(D16,'G-6 Hedgerow Data'!$B$3:$AG$15,31,FALSE))</f>
        <v/>
      </c>
      <c r="T16" s="370" t="str">
        <f t="shared" si="3"/>
        <v/>
      </c>
      <c r="U16" s="370" t="str">
        <f t="shared" si="4"/>
        <v/>
      </c>
      <c r="V16" s="386" t="str">
        <f>IF(D16="","",VLOOKUP(S16,'G-3 Multipliers'!$P$3:$Q$6,2,FALSE))</f>
        <v/>
      </c>
      <c r="W16" s="390" t="str">
        <f t="shared" si="5"/>
        <v/>
      </c>
      <c r="X16" s="117"/>
      <c r="Y16" s="118"/>
      <c r="Z16" s="120"/>
      <c r="AG16" s="30" t="str">
        <f>IFERROR(INDEX('G-6 Hedgerow Data'!$BJ$3:$BJ$15,MATCH(D16,'G-6 Hedgerow Data'!$B$3:$B$15,0)),"")</f>
        <v/>
      </c>
    </row>
    <row r="17" spans="2:33" ht="13.8" x14ac:dyDescent="0.25">
      <c r="B17" s="110">
        <v>6</v>
      </c>
      <c r="C17" s="167"/>
      <c r="D17" s="159"/>
      <c r="E17" s="139"/>
      <c r="F17" s="398" t="str">
        <f>IF(D17="","",VLOOKUP(D17,'G-6 Hedgerow Data'!$B$2:$AG$15,2,FALSE))</f>
        <v/>
      </c>
      <c r="G17" s="368" t="str">
        <f>IF(D17="","",VLOOKUP(D17,'G-6 Hedgerow Data'!$B$2:$AG$15,3,FALSE))</f>
        <v/>
      </c>
      <c r="H17" s="54"/>
      <c r="I17" s="363" t="str">
        <f>IFERROR(VLOOKUP(H17,'G-1 All Habitats'!$Z$2:$AA$9,2,FALSE),"")</f>
        <v/>
      </c>
      <c r="J17" s="114"/>
      <c r="K17" s="382" t="str">
        <f>IF(J17="","",IF(VLOOKUP(J17,'G-3 Multipliers'!$L$3:$N$6,2,FALSE)=0,"Spatial Data Missing ⚠",VLOOKUP(J17,'G-3 Multipliers'!$L$3:$N$6,2,FALSE)))</f>
        <v/>
      </c>
      <c r="L17" s="368" t="str">
        <f>IF(J17="","",IF(VLOOKUP(J17,'G-3 Multipliers'!$L$3:$N$6,3,FALSE)=0,"Spatial Data Missing ⚠",VLOOKUP(J17,'G-3 Multipliers'!$L$3:$N$6,3,FALSE)))</f>
        <v/>
      </c>
      <c r="M17" s="362" t="str">
        <f>IF(OR(D17="",H17=""),"",(INDEX('G-6 Hedgerow Data'!$E$3:$I$15,MATCH(D17,'G-6 Hedgerow Data'!$B$3:$B$15,0),MATCH(H17,'G-6 Hedgerow Data'!$E$2:$I$2,0))))</f>
        <v/>
      </c>
      <c r="N17" s="159"/>
      <c r="O17" s="159"/>
      <c r="P17" s="370" t="str">
        <f t="shared" si="1"/>
        <v/>
      </c>
      <c r="Q17" s="383" t="str">
        <f t="shared" si="2"/>
        <v/>
      </c>
      <c r="R17" s="384" t="str">
        <f t="shared" si="0"/>
        <v/>
      </c>
      <c r="S17" s="398" t="str">
        <f>IF(D17="","",VLOOKUP(D17,'G-6 Hedgerow Data'!$B$3:$AG$15,31,FALSE))</f>
        <v/>
      </c>
      <c r="T17" s="370" t="str">
        <f t="shared" si="3"/>
        <v/>
      </c>
      <c r="U17" s="370" t="str">
        <f t="shared" si="4"/>
        <v/>
      </c>
      <c r="V17" s="386" t="str">
        <f>IF(D17="","",VLOOKUP(S17,'G-3 Multipliers'!$P$3:$Q$6,2,FALSE))</f>
        <v/>
      </c>
      <c r="W17" s="390" t="str">
        <f t="shared" si="5"/>
        <v/>
      </c>
      <c r="X17" s="117"/>
      <c r="Y17" s="118"/>
      <c r="Z17" s="120"/>
      <c r="AG17" s="30" t="str">
        <f>IFERROR(INDEX('G-6 Hedgerow Data'!$BJ$3:$BJ$15,MATCH(D17,'G-6 Hedgerow Data'!$B$3:$B$15,0)),"")</f>
        <v/>
      </c>
    </row>
    <row r="18" spans="2:33" ht="13.8" x14ac:dyDescent="0.25">
      <c r="B18" s="110">
        <v>7</v>
      </c>
      <c r="C18" s="167"/>
      <c r="D18" s="159"/>
      <c r="E18" s="139"/>
      <c r="F18" s="362" t="str">
        <f>IF(D18="","",VLOOKUP(D18,'G-6 Hedgerow Data'!$B$2:$AG$15,2,FALSE))</f>
        <v/>
      </c>
      <c r="G18" s="368" t="str">
        <f>IF(D18="","",VLOOKUP(D18,'G-6 Hedgerow Data'!$B$2:$AG$15,3,FALSE))</f>
        <v/>
      </c>
      <c r="H18" s="54"/>
      <c r="I18" s="363" t="str">
        <f>IFERROR(VLOOKUP(H18,'G-1 All Habitats'!$Z$2:$AA$9,2,FALSE),"")</f>
        <v/>
      </c>
      <c r="J18" s="114"/>
      <c r="K18" s="382" t="str">
        <f>IF(J18="","",IF(VLOOKUP(J18,'G-3 Multipliers'!$L$3:$N$6,2,FALSE)=0,"Spatial Data Missing ⚠",VLOOKUP(J18,'G-3 Multipliers'!$L$3:$N$6,2,FALSE)))</f>
        <v/>
      </c>
      <c r="L18" s="368" t="str">
        <f>IF(J18="","",IF(VLOOKUP(J18,'G-3 Multipliers'!$L$3:$N$6,3,FALSE)=0,"Spatial Data Missing ⚠",VLOOKUP(J18,'G-3 Multipliers'!$L$3:$N$6,3,FALSE)))</f>
        <v/>
      </c>
      <c r="M18" s="362" t="str">
        <f>IF(OR(D18="",H18=""),"",(INDEX('G-6 Hedgerow Data'!$E$3:$I$15,MATCH(D18,'G-6 Hedgerow Data'!$B$3:$B$15,0),MATCH(H18,'G-6 Hedgerow Data'!$E$2:$I$2,0))))</f>
        <v/>
      </c>
      <c r="N18" s="159"/>
      <c r="O18" s="159"/>
      <c r="P18" s="370" t="str">
        <f t="shared" si="1"/>
        <v/>
      </c>
      <c r="Q18" s="383" t="str">
        <f t="shared" si="2"/>
        <v/>
      </c>
      <c r="R18" s="384" t="str">
        <f t="shared" si="0"/>
        <v/>
      </c>
      <c r="S18" s="398" t="str">
        <f>IF(D18="","",VLOOKUP(D18,'G-6 Hedgerow Data'!$B$3:$AG$15,31,FALSE))</f>
        <v/>
      </c>
      <c r="T18" s="370" t="str">
        <f t="shared" si="3"/>
        <v/>
      </c>
      <c r="U18" s="370" t="str">
        <f t="shared" si="4"/>
        <v/>
      </c>
      <c r="V18" s="386" t="str">
        <f>IF(D18="","",VLOOKUP(S18,'G-3 Multipliers'!$P$3:$Q$6,2,FALSE))</f>
        <v/>
      </c>
      <c r="W18" s="390" t="str">
        <f t="shared" si="5"/>
        <v/>
      </c>
      <c r="X18" s="117"/>
      <c r="Y18" s="118"/>
      <c r="Z18" s="120"/>
      <c r="AG18" s="30" t="str">
        <f>IFERROR(INDEX('G-6 Hedgerow Data'!$BJ$3:$BJ$15,MATCH(D18,'G-6 Hedgerow Data'!$B$3:$B$15,0)),"")</f>
        <v/>
      </c>
    </row>
    <row r="19" spans="2:33" ht="13.8" x14ac:dyDescent="0.25">
      <c r="B19" s="110">
        <v>8</v>
      </c>
      <c r="C19" s="167"/>
      <c r="D19" s="159"/>
      <c r="E19" s="139"/>
      <c r="F19" s="362" t="str">
        <f>IF(D19="","",VLOOKUP(D19,'G-6 Hedgerow Data'!$B$2:$AG$15,2,FALSE))</f>
        <v/>
      </c>
      <c r="G19" s="368" t="str">
        <f>IF(D19="","",VLOOKUP(D19,'G-6 Hedgerow Data'!$B$2:$AG$15,3,FALSE))</f>
        <v/>
      </c>
      <c r="H19" s="54"/>
      <c r="I19" s="363" t="str">
        <f>IFERROR(VLOOKUP(H19,'G-1 All Habitats'!$Z$2:$AA$9,2,FALSE),"")</f>
        <v/>
      </c>
      <c r="J19" s="114"/>
      <c r="K19" s="382" t="str">
        <f>IF(J19="","",IF(VLOOKUP(J19,'G-3 Multipliers'!$L$3:$N$6,2,FALSE)=0,"Spatial Data Missing ⚠",VLOOKUP(J19,'G-3 Multipliers'!$L$3:$N$6,2,FALSE)))</f>
        <v/>
      </c>
      <c r="L19" s="368" t="str">
        <f>IF(J19="","",IF(VLOOKUP(J19,'G-3 Multipliers'!$L$3:$N$6,3,FALSE)=0,"Spatial Data Missing ⚠",VLOOKUP(J19,'G-3 Multipliers'!$L$3:$N$6,3,FALSE)))</f>
        <v/>
      </c>
      <c r="M19" s="362" t="str">
        <f>IF(OR(D19="",H19=""),"",(INDEX('G-6 Hedgerow Data'!$E$3:$I$15,MATCH(D19,'G-6 Hedgerow Data'!$B$3:$B$15,0),MATCH(H19,'G-6 Hedgerow Data'!$E$2:$I$2,0))))</f>
        <v/>
      </c>
      <c r="N19" s="159"/>
      <c r="O19" s="159"/>
      <c r="P19" s="370" t="str">
        <f t="shared" si="1"/>
        <v/>
      </c>
      <c r="Q19" s="383" t="str">
        <f t="shared" si="2"/>
        <v/>
      </c>
      <c r="R19" s="384" t="str">
        <f t="shared" si="0"/>
        <v/>
      </c>
      <c r="S19" s="398" t="str">
        <f>IF(D19="","",VLOOKUP(D19,'G-6 Hedgerow Data'!$B$3:$AG$15,31,FALSE))</f>
        <v/>
      </c>
      <c r="T19" s="370" t="str">
        <f t="shared" si="3"/>
        <v/>
      </c>
      <c r="U19" s="370" t="str">
        <f t="shared" si="4"/>
        <v/>
      </c>
      <c r="V19" s="386" t="str">
        <f>IF(D19="","",VLOOKUP(S19,'G-3 Multipliers'!$P$3:$Q$6,2,FALSE))</f>
        <v/>
      </c>
      <c r="W19" s="390" t="str">
        <f t="shared" si="5"/>
        <v/>
      </c>
      <c r="X19" s="117"/>
      <c r="Y19" s="118"/>
      <c r="Z19" s="120"/>
      <c r="AG19" s="30" t="str">
        <f>IFERROR(INDEX('G-6 Hedgerow Data'!$BJ$3:$BJ$15,MATCH(D19,'G-6 Hedgerow Data'!$B$3:$B$15,0)),"")</f>
        <v/>
      </c>
    </row>
    <row r="20" spans="2:33" ht="13.8" x14ac:dyDescent="0.25">
      <c r="B20" s="110">
        <v>9</v>
      </c>
      <c r="C20" s="167"/>
      <c r="D20" s="159"/>
      <c r="E20" s="139"/>
      <c r="F20" s="362" t="str">
        <f>IF(D20="","",VLOOKUP(D20,'G-6 Hedgerow Data'!$B$2:$AG$15,2,FALSE))</f>
        <v/>
      </c>
      <c r="G20" s="368" t="str">
        <f>IF(D20="","",VLOOKUP(D20,'G-6 Hedgerow Data'!$B$2:$AG$15,3,FALSE))</f>
        <v/>
      </c>
      <c r="H20" s="54"/>
      <c r="I20" s="363" t="str">
        <f>IFERROR(VLOOKUP(H20,'G-1 All Habitats'!$Z$2:$AA$9,2,FALSE),"")</f>
        <v/>
      </c>
      <c r="J20" s="114"/>
      <c r="K20" s="382" t="str">
        <f>IF(J20="","",IF(VLOOKUP(J20,'G-3 Multipliers'!$L$3:$N$6,2,FALSE)=0,"Spatial Data Missing ⚠",VLOOKUP(J20,'G-3 Multipliers'!$L$3:$N$6,2,FALSE)))</f>
        <v/>
      </c>
      <c r="L20" s="368" t="str">
        <f>IF(J20="","",IF(VLOOKUP(J20,'G-3 Multipliers'!$L$3:$N$6,3,FALSE)=0,"Spatial Data Missing ⚠",VLOOKUP(J20,'G-3 Multipliers'!$L$3:$N$6,3,FALSE)))</f>
        <v/>
      </c>
      <c r="M20" s="362" t="str">
        <f>IF(OR(D20="",H20=""),"",(INDEX('G-6 Hedgerow Data'!$E$3:$I$15,MATCH(D20,'G-6 Hedgerow Data'!$B$3:$B$15,0),MATCH(H20,'G-6 Hedgerow Data'!$E$2:$I$2,0))))</f>
        <v/>
      </c>
      <c r="N20" s="159"/>
      <c r="O20" s="159"/>
      <c r="P20" s="370" t="str">
        <f t="shared" si="1"/>
        <v/>
      </c>
      <c r="Q20" s="383" t="str">
        <f t="shared" si="2"/>
        <v/>
      </c>
      <c r="R20" s="384" t="str">
        <f t="shared" si="0"/>
        <v/>
      </c>
      <c r="S20" s="398" t="str">
        <f>IF(D20="","",VLOOKUP(D20,'G-6 Hedgerow Data'!$B$3:$AG$15,31,FALSE))</f>
        <v/>
      </c>
      <c r="T20" s="370" t="str">
        <f t="shared" si="3"/>
        <v/>
      </c>
      <c r="U20" s="370" t="str">
        <f t="shared" si="4"/>
        <v/>
      </c>
      <c r="V20" s="386" t="str">
        <f>IF(D20="","",VLOOKUP(S20,'G-3 Multipliers'!$P$3:$Q$6,2,FALSE))</f>
        <v/>
      </c>
      <c r="W20" s="390" t="str">
        <f t="shared" si="5"/>
        <v/>
      </c>
      <c r="X20" s="117"/>
      <c r="Y20" s="118"/>
      <c r="Z20" s="120"/>
      <c r="AG20" s="30" t="str">
        <f>IFERROR(INDEX('G-6 Hedgerow Data'!$BJ$3:$BJ$15,MATCH(D20,'G-6 Hedgerow Data'!$B$3:$B$15,0)),"")</f>
        <v/>
      </c>
    </row>
    <row r="21" spans="2:33" ht="13.8" x14ac:dyDescent="0.25">
      <c r="B21" s="110">
        <v>10</v>
      </c>
      <c r="C21" s="167"/>
      <c r="D21" s="159"/>
      <c r="E21" s="139"/>
      <c r="F21" s="362" t="str">
        <f>IF(D21="","",VLOOKUP(D21,'G-6 Hedgerow Data'!$B$2:$AG$15,2,FALSE))</f>
        <v/>
      </c>
      <c r="G21" s="368" t="str">
        <f>IF(D21="","",VLOOKUP(D21,'G-6 Hedgerow Data'!$B$2:$AG$15,3,FALSE))</f>
        <v/>
      </c>
      <c r="H21" s="54"/>
      <c r="I21" s="363" t="str">
        <f>IFERROR(VLOOKUP(H21,'G-1 All Habitats'!$Z$2:$AA$9,2,FALSE),"")</f>
        <v/>
      </c>
      <c r="J21" s="114"/>
      <c r="K21" s="382" t="str">
        <f>IF(J21="","",IF(VLOOKUP(J21,'G-3 Multipliers'!$L$3:$N$6,2,FALSE)=0,"Spatial Data Missing ⚠",VLOOKUP(J21,'G-3 Multipliers'!$L$3:$N$6,2,FALSE)))</f>
        <v/>
      </c>
      <c r="L21" s="368" t="str">
        <f>IF(J21="","",IF(VLOOKUP(J21,'G-3 Multipliers'!$L$3:$N$6,3,FALSE)=0,"Spatial Data Missing ⚠",VLOOKUP(J21,'G-3 Multipliers'!$L$3:$N$6,3,FALSE)))</f>
        <v/>
      </c>
      <c r="M21" s="362" t="str">
        <f>IF(OR(D21="",H21=""),"",(INDEX('G-6 Hedgerow Data'!$E$3:$I$15,MATCH(D21,'G-6 Hedgerow Data'!$B$3:$B$15,0),MATCH(H21,'G-6 Hedgerow Data'!$E$2:$I$2,0))))</f>
        <v/>
      </c>
      <c r="N21" s="159"/>
      <c r="O21" s="159"/>
      <c r="P21" s="370" t="str">
        <f t="shared" si="1"/>
        <v/>
      </c>
      <c r="Q21" s="383" t="str">
        <f t="shared" si="2"/>
        <v/>
      </c>
      <c r="R21" s="384" t="str">
        <f t="shared" si="0"/>
        <v/>
      </c>
      <c r="S21" s="398" t="str">
        <f>IF(D21="","",VLOOKUP(D21,'G-6 Hedgerow Data'!$B$3:$AG$15,31,FALSE))</f>
        <v/>
      </c>
      <c r="T21" s="370" t="str">
        <f t="shared" si="3"/>
        <v/>
      </c>
      <c r="U21" s="370" t="str">
        <f t="shared" si="4"/>
        <v/>
      </c>
      <c r="V21" s="386" t="str">
        <f>IF(D21="","",VLOOKUP(S21,'G-3 Multipliers'!$P$3:$Q$6,2,FALSE))</f>
        <v/>
      </c>
      <c r="W21" s="390" t="str">
        <f t="shared" si="5"/>
        <v/>
      </c>
      <c r="X21" s="117"/>
      <c r="Y21" s="118"/>
      <c r="Z21" s="120"/>
      <c r="AG21" s="30" t="str">
        <f>IFERROR(INDEX('G-6 Hedgerow Data'!$BJ$3:$BJ$15,MATCH(D21,'G-6 Hedgerow Data'!$B$3:$B$15,0)),"")</f>
        <v/>
      </c>
    </row>
    <row r="22" spans="2:33" ht="13.8" x14ac:dyDescent="0.25">
      <c r="B22" s="110">
        <v>11</v>
      </c>
      <c r="C22" s="167"/>
      <c r="D22" s="159"/>
      <c r="E22" s="139"/>
      <c r="F22" s="362" t="str">
        <f>IF(D22="","",VLOOKUP(D22,'G-6 Hedgerow Data'!$B$2:$AG$15,2,FALSE))</f>
        <v/>
      </c>
      <c r="G22" s="368" t="str">
        <f>IF(D22="","",VLOOKUP(D22,'G-6 Hedgerow Data'!$B$2:$AG$15,3,FALSE))</f>
        <v/>
      </c>
      <c r="H22" s="54"/>
      <c r="I22" s="363" t="str">
        <f>IFERROR(VLOOKUP(H22,'G-1 All Habitats'!$Z$2:$AA$9,2,FALSE),"")</f>
        <v/>
      </c>
      <c r="J22" s="114"/>
      <c r="K22" s="382" t="str">
        <f>IF(J22="","",IF(VLOOKUP(J22,'G-3 Multipliers'!$L$3:$N$6,2,FALSE)=0,"Spatial Data Missing ⚠",VLOOKUP(J22,'G-3 Multipliers'!$L$3:$N$6,2,FALSE)))</f>
        <v/>
      </c>
      <c r="L22" s="368" t="str">
        <f>IF(J22="","",IF(VLOOKUP(J22,'G-3 Multipliers'!$L$3:$N$6,3,FALSE)=0,"Spatial Data Missing ⚠",VLOOKUP(J22,'G-3 Multipliers'!$L$3:$N$6,3,FALSE)))</f>
        <v/>
      </c>
      <c r="M22" s="362" t="str">
        <f>IF(OR(D22="",H22=""),"",(INDEX('G-6 Hedgerow Data'!$E$3:$I$15,MATCH(D22,'G-6 Hedgerow Data'!$B$3:$B$15,0),MATCH(H22,'G-6 Hedgerow Data'!$E$2:$I$2,0))))</f>
        <v/>
      </c>
      <c r="N22" s="159"/>
      <c r="O22" s="159"/>
      <c r="P22" s="370" t="str">
        <f t="shared" si="1"/>
        <v/>
      </c>
      <c r="Q22" s="383" t="str">
        <f t="shared" si="2"/>
        <v/>
      </c>
      <c r="R22" s="384" t="str">
        <f t="shared" si="0"/>
        <v/>
      </c>
      <c r="S22" s="398" t="str">
        <f>IF(D22="","",VLOOKUP(D22,'G-6 Hedgerow Data'!$B$3:$AG$15,31,FALSE))</f>
        <v/>
      </c>
      <c r="T22" s="370" t="str">
        <f t="shared" si="3"/>
        <v/>
      </c>
      <c r="U22" s="370" t="str">
        <f t="shared" si="4"/>
        <v/>
      </c>
      <c r="V22" s="386" t="str">
        <f>IF(D22="","",VLOOKUP(S22,'G-3 Multipliers'!$P$3:$Q$6,2,FALSE))</f>
        <v/>
      </c>
      <c r="W22" s="390" t="str">
        <f t="shared" si="5"/>
        <v/>
      </c>
      <c r="X22" s="117"/>
      <c r="Y22" s="118"/>
      <c r="Z22" s="120"/>
      <c r="AG22" s="30" t="str">
        <f>IFERROR(INDEX('G-6 Hedgerow Data'!$BJ$3:$BJ$15,MATCH(D22,'G-6 Hedgerow Data'!$B$3:$B$15,0)),"")</f>
        <v/>
      </c>
    </row>
    <row r="23" spans="2:33" ht="13.8" x14ac:dyDescent="0.25">
      <c r="B23" s="110">
        <v>12</v>
      </c>
      <c r="C23" s="167"/>
      <c r="D23" s="159"/>
      <c r="E23" s="139"/>
      <c r="F23" s="362" t="str">
        <f>IF(D23="","",VLOOKUP(D23,'G-6 Hedgerow Data'!$B$2:$AG$15,2,FALSE))</f>
        <v/>
      </c>
      <c r="G23" s="368" t="str">
        <f>IF(D23="","",VLOOKUP(D23,'G-6 Hedgerow Data'!$B$2:$AG$15,3,FALSE))</f>
        <v/>
      </c>
      <c r="H23" s="54"/>
      <c r="I23" s="363" t="str">
        <f>IFERROR(VLOOKUP(H23,'G-1 All Habitats'!$Z$2:$AA$9,2,FALSE),"")</f>
        <v/>
      </c>
      <c r="J23" s="114"/>
      <c r="K23" s="382" t="str">
        <f>IF(J23="","",IF(VLOOKUP(J23,'G-3 Multipliers'!$L$3:$N$6,2,FALSE)=0,"Spatial Data Missing ⚠",VLOOKUP(J23,'G-3 Multipliers'!$L$3:$N$6,2,FALSE)))</f>
        <v/>
      </c>
      <c r="L23" s="368" t="str">
        <f>IF(J23="","",IF(VLOOKUP(J23,'G-3 Multipliers'!$L$3:$N$6,3,FALSE)=0,"Spatial Data Missing ⚠",VLOOKUP(J23,'G-3 Multipliers'!$L$3:$N$6,3,FALSE)))</f>
        <v/>
      </c>
      <c r="M23" s="362" t="str">
        <f>IF(OR(D23="",H23=""),"",(INDEX('G-6 Hedgerow Data'!$E$3:$I$15,MATCH(D23,'G-6 Hedgerow Data'!$B$3:$B$15,0),MATCH(H23,'G-6 Hedgerow Data'!$E$2:$I$2,0))))</f>
        <v/>
      </c>
      <c r="N23" s="159"/>
      <c r="O23" s="159"/>
      <c r="P23" s="370" t="str">
        <f t="shared" si="1"/>
        <v/>
      </c>
      <c r="Q23" s="383" t="str">
        <f t="shared" si="2"/>
        <v/>
      </c>
      <c r="R23" s="384" t="str">
        <f t="shared" si="0"/>
        <v/>
      </c>
      <c r="S23" s="398" t="str">
        <f>IF(D23="","",VLOOKUP(D23,'G-6 Hedgerow Data'!$B$3:$AG$15,31,FALSE))</f>
        <v/>
      </c>
      <c r="T23" s="370" t="str">
        <f t="shared" si="3"/>
        <v/>
      </c>
      <c r="U23" s="370" t="str">
        <f t="shared" si="4"/>
        <v/>
      </c>
      <c r="V23" s="386" t="str">
        <f>IF(D23="","",VLOOKUP(S23,'G-3 Multipliers'!$P$3:$Q$6,2,FALSE))</f>
        <v/>
      </c>
      <c r="W23" s="390" t="str">
        <f t="shared" si="5"/>
        <v/>
      </c>
      <c r="X23" s="117"/>
      <c r="Y23" s="118"/>
      <c r="Z23" s="120"/>
      <c r="AG23" s="30" t="str">
        <f>IFERROR(INDEX('G-6 Hedgerow Data'!$BJ$3:$BJ$15,MATCH(D23,'G-6 Hedgerow Data'!$B$3:$B$15,0)),"")</f>
        <v/>
      </c>
    </row>
    <row r="24" spans="2:33" ht="13.8" x14ac:dyDescent="0.25">
      <c r="B24" s="110">
        <v>13</v>
      </c>
      <c r="C24" s="167"/>
      <c r="D24" s="159"/>
      <c r="E24" s="139"/>
      <c r="F24" s="362" t="str">
        <f>IF(D24="","",VLOOKUP(D24,'G-6 Hedgerow Data'!$B$2:$AG$15,2,FALSE))</f>
        <v/>
      </c>
      <c r="G24" s="368" t="str">
        <f>IF(D24="","",VLOOKUP(D24,'G-6 Hedgerow Data'!$B$2:$AG$15,3,FALSE))</f>
        <v/>
      </c>
      <c r="H24" s="114"/>
      <c r="I24" s="363" t="str">
        <f>IFERROR(VLOOKUP(H24,'G-1 All Habitats'!$Z$2:$AA$9,2,FALSE),"")</f>
        <v/>
      </c>
      <c r="J24" s="114"/>
      <c r="K24" s="382" t="str">
        <f>IF(J24="","",IF(VLOOKUP(J24,'G-3 Multipliers'!$L$3:$N$6,2,FALSE)=0,"Spatial Data Missing ⚠",VLOOKUP(J24,'G-3 Multipliers'!$L$3:$N$6,2,FALSE)))</f>
        <v/>
      </c>
      <c r="L24" s="368" t="str">
        <f>IF(J24="","",IF(VLOOKUP(J24,'G-3 Multipliers'!$L$3:$N$6,3,FALSE)=0,"Spatial Data Missing ⚠",VLOOKUP(J24,'G-3 Multipliers'!$L$3:$N$6,3,FALSE)))</f>
        <v/>
      </c>
      <c r="M24" s="362" t="str">
        <f>IF(OR(D24="",H24=""),"",(INDEX('G-6 Hedgerow Data'!$E$3:$I$15,MATCH(D24,'G-6 Hedgerow Data'!$B$3:$B$15,0),MATCH(H24,'G-6 Hedgerow Data'!$E$2:$I$2,0))))</f>
        <v/>
      </c>
      <c r="N24" s="159"/>
      <c r="O24" s="159"/>
      <c r="P24" s="370" t="str">
        <f t="shared" si="1"/>
        <v/>
      </c>
      <c r="Q24" s="383" t="str">
        <f t="shared" si="2"/>
        <v/>
      </c>
      <c r="R24" s="384" t="str">
        <f t="shared" si="0"/>
        <v/>
      </c>
      <c r="S24" s="398" t="str">
        <f>IF(D24="","",VLOOKUP(D24,'G-6 Hedgerow Data'!$B$3:$AG$15,31,FALSE))</f>
        <v/>
      </c>
      <c r="T24" s="370" t="str">
        <f t="shared" si="3"/>
        <v/>
      </c>
      <c r="U24" s="370" t="str">
        <f t="shared" si="4"/>
        <v/>
      </c>
      <c r="V24" s="386" t="str">
        <f>IF(D24="","",VLOOKUP(S24,'G-3 Multipliers'!$P$3:$Q$6,2,FALSE))</f>
        <v/>
      </c>
      <c r="W24" s="390" t="str">
        <f t="shared" si="5"/>
        <v/>
      </c>
      <c r="X24" s="117"/>
      <c r="Y24" s="118"/>
      <c r="Z24" s="120"/>
      <c r="AG24" s="30" t="str">
        <f>IFERROR(INDEX('G-6 Hedgerow Data'!$BJ$3:$BJ$15,MATCH(D24,'G-6 Hedgerow Data'!$B$3:$B$15,0)),"")</f>
        <v/>
      </c>
    </row>
    <row r="25" spans="2:33" ht="13.8" x14ac:dyDescent="0.25">
      <c r="B25" s="110">
        <v>14</v>
      </c>
      <c r="C25" s="167"/>
      <c r="D25" s="63"/>
      <c r="E25" s="53"/>
      <c r="F25" s="411" t="str">
        <f>IF(D25="","",VLOOKUP(D25,'G-6 Hedgerow Data'!$B$2:$AG$15,2,FALSE))</f>
        <v/>
      </c>
      <c r="G25" s="363" t="str">
        <f>IF(D25="","",VLOOKUP(D25,'G-6 Hedgerow Data'!$B$2:$AG$15,3,FALSE))</f>
        <v/>
      </c>
      <c r="H25" s="114"/>
      <c r="I25" s="363" t="str">
        <f>IFERROR(VLOOKUP(H25,'G-1 All Habitats'!$Z$2:$AA$9,2,FALSE),"")</f>
        <v/>
      </c>
      <c r="J25" s="114"/>
      <c r="K25" s="382" t="str">
        <f>IF(J25="","",IF(VLOOKUP(J25,'G-3 Multipliers'!$L$3:$N$6,2,FALSE)=0,"Spatial Data Missing ⚠",VLOOKUP(J25,'G-3 Multipliers'!$L$3:$N$6,2,FALSE)))</f>
        <v/>
      </c>
      <c r="L25" s="368" t="str">
        <f>IF(J25="","",IF(VLOOKUP(J25,'G-3 Multipliers'!$L$3:$N$6,3,FALSE)=0,"Spatial Data Missing ⚠",VLOOKUP(J25,'G-3 Multipliers'!$L$3:$N$6,3,FALSE)))</f>
        <v/>
      </c>
      <c r="M25" s="362" t="str">
        <f>IF(OR(D25="",H25=""),"",(INDEX('G-6 Hedgerow Data'!$E$3:$I$15,MATCH(D25,'G-6 Hedgerow Data'!$B$3:$B$15,0),MATCH(H25,'G-6 Hedgerow Data'!$E$2:$I$2,0))))</f>
        <v/>
      </c>
      <c r="N25" s="159"/>
      <c r="O25" s="159"/>
      <c r="P25" s="370" t="str">
        <f t="shared" si="1"/>
        <v/>
      </c>
      <c r="Q25" s="383" t="str">
        <f t="shared" si="2"/>
        <v/>
      </c>
      <c r="R25" s="384" t="str">
        <f t="shared" si="0"/>
        <v/>
      </c>
      <c r="S25" s="398" t="str">
        <f>IF(D25="","",VLOOKUP(D25,'G-6 Hedgerow Data'!$B$3:$AG$15,31,FALSE))</f>
        <v/>
      </c>
      <c r="T25" s="370" t="str">
        <f t="shared" si="3"/>
        <v/>
      </c>
      <c r="U25" s="370" t="str">
        <f t="shared" si="4"/>
        <v/>
      </c>
      <c r="V25" s="386" t="str">
        <f>IF(D25="","",VLOOKUP(S25,'G-3 Multipliers'!$P$3:$Q$6,2,FALSE))</f>
        <v/>
      </c>
      <c r="W25" s="390" t="str">
        <f t="shared" si="5"/>
        <v/>
      </c>
      <c r="X25" s="117"/>
      <c r="Y25" s="118"/>
      <c r="Z25" s="120"/>
      <c r="AG25" s="30" t="str">
        <f>IFERROR(INDEX('G-6 Hedgerow Data'!$BJ$3:$BJ$15,MATCH(D25,'G-6 Hedgerow Data'!$B$3:$B$15,0)),"")</f>
        <v/>
      </c>
    </row>
    <row r="26" spans="2:33" ht="13.8" x14ac:dyDescent="0.25">
      <c r="B26" s="110">
        <v>15</v>
      </c>
      <c r="C26" s="167"/>
      <c r="D26" s="63"/>
      <c r="E26" s="53"/>
      <c r="F26" s="411" t="str">
        <f>IF(D26="","",VLOOKUP(D26,'G-6 Hedgerow Data'!$B$2:$AG$15,2,FALSE))</f>
        <v/>
      </c>
      <c r="G26" s="363" t="str">
        <f>IF(D26="","",VLOOKUP(D26,'G-6 Hedgerow Data'!$B$2:$AG$15,3,FALSE))</f>
        <v/>
      </c>
      <c r="H26" s="114"/>
      <c r="I26" s="363" t="str">
        <f>IFERROR(VLOOKUP(H26,'G-1 All Habitats'!$Z$2:$AA$9,2,FALSE),"")</f>
        <v/>
      </c>
      <c r="J26" s="114"/>
      <c r="K26" s="382" t="str">
        <f>IF(J26="","",IF(VLOOKUP(J26,'G-3 Multipliers'!$L$3:$N$6,2,FALSE)=0,"Spatial Data Missing ⚠",VLOOKUP(J26,'G-3 Multipliers'!$L$3:$N$6,2,FALSE)))</f>
        <v/>
      </c>
      <c r="L26" s="368" t="str">
        <f>IF(J26="","",IF(VLOOKUP(J26,'G-3 Multipliers'!$L$3:$N$6,3,FALSE)=0,"Spatial Data Missing ⚠",VLOOKUP(J26,'G-3 Multipliers'!$L$3:$N$6,3,FALSE)))</f>
        <v/>
      </c>
      <c r="M26" s="362" t="str">
        <f>IF(OR(D26="",H26=""),"",(INDEX('G-6 Hedgerow Data'!$E$3:$I$15,MATCH(D26,'G-6 Hedgerow Data'!$B$3:$B$15,0),MATCH(H26,'G-6 Hedgerow Data'!$E$2:$I$2,0))))</f>
        <v/>
      </c>
      <c r="N26" s="159"/>
      <c r="O26" s="159"/>
      <c r="P26" s="370" t="str">
        <f t="shared" si="1"/>
        <v/>
      </c>
      <c r="Q26" s="383" t="str">
        <f t="shared" si="2"/>
        <v/>
      </c>
      <c r="R26" s="384" t="str">
        <f t="shared" si="0"/>
        <v/>
      </c>
      <c r="S26" s="398" t="str">
        <f>IF(D26="","",VLOOKUP(D26,'G-6 Hedgerow Data'!$B$3:$AG$15,31,FALSE))</f>
        <v/>
      </c>
      <c r="T26" s="370" t="str">
        <f t="shared" si="3"/>
        <v/>
      </c>
      <c r="U26" s="370" t="str">
        <f t="shared" si="4"/>
        <v/>
      </c>
      <c r="V26" s="386" t="str">
        <f>IF(D26="","",VLOOKUP(S26,'G-3 Multipliers'!$P$3:$Q$6,2,FALSE))</f>
        <v/>
      </c>
      <c r="W26" s="390" t="str">
        <f t="shared" si="5"/>
        <v/>
      </c>
      <c r="X26" s="117"/>
      <c r="Y26" s="118"/>
      <c r="Z26" s="120"/>
      <c r="AG26" s="30" t="str">
        <f>IFERROR(INDEX('G-6 Hedgerow Data'!$BJ$3:$BJ$15,MATCH(D26,'G-6 Hedgerow Data'!$B$3:$B$15,0)),"")</f>
        <v/>
      </c>
    </row>
    <row r="27" spans="2:33" ht="13.8" x14ac:dyDescent="0.25">
      <c r="B27" s="110">
        <v>16</v>
      </c>
      <c r="C27" s="167"/>
      <c r="D27" s="63"/>
      <c r="E27" s="53"/>
      <c r="F27" s="411" t="str">
        <f>IF(D27="","",VLOOKUP(D27,'G-6 Hedgerow Data'!$B$2:$AG$15,2,FALSE))</f>
        <v/>
      </c>
      <c r="G27" s="363" t="str">
        <f>IF(D27="","",VLOOKUP(D27,'G-6 Hedgerow Data'!$B$2:$AG$15,3,FALSE))</f>
        <v/>
      </c>
      <c r="H27" s="114"/>
      <c r="I27" s="363" t="str">
        <f>IFERROR(VLOOKUP(H27,'G-1 All Habitats'!$Z$2:$AA$9,2,FALSE),"")</f>
        <v/>
      </c>
      <c r="J27" s="114"/>
      <c r="K27" s="382" t="str">
        <f>IF(J27="","",IF(VLOOKUP(J27,'G-3 Multipliers'!$L$3:$N$6,2,FALSE)=0,"Spatial Data Missing ⚠",VLOOKUP(J27,'G-3 Multipliers'!$L$3:$N$6,2,FALSE)))</f>
        <v/>
      </c>
      <c r="L27" s="368" t="str">
        <f>IF(J27="","",IF(VLOOKUP(J27,'G-3 Multipliers'!$L$3:$N$6,3,FALSE)=0,"Spatial Data Missing ⚠",VLOOKUP(J27,'G-3 Multipliers'!$L$3:$N$6,3,FALSE)))</f>
        <v/>
      </c>
      <c r="M27" s="362" t="str">
        <f>IF(OR(D27="",H27=""),"",(INDEX('G-6 Hedgerow Data'!$E$3:$I$15,MATCH(D27,'G-6 Hedgerow Data'!$B$3:$B$15,0),MATCH(H27,'G-6 Hedgerow Data'!$E$2:$I$2,0))))</f>
        <v/>
      </c>
      <c r="N27" s="159"/>
      <c r="O27" s="159"/>
      <c r="P27" s="370" t="str">
        <f t="shared" si="1"/>
        <v/>
      </c>
      <c r="Q27" s="383" t="str">
        <f t="shared" si="2"/>
        <v/>
      </c>
      <c r="R27" s="384" t="str">
        <f t="shared" si="0"/>
        <v/>
      </c>
      <c r="S27" s="398" t="str">
        <f>IF(D27="","",VLOOKUP(D27,'G-6 Hedgerow Data'!$B$3:$AG$15,31,FALSE))</f>
        <v/>
      </c>
      <c r="T27" s="370" t="str">
        <f t="shared" si="3"/>
        <v/>
      </c>
      <c r="U27" s="370" t="str">
        <f t="shared" si="4"/>
        <v/>
      </c>
      <c r="V27" s="386" t="str">
        <f>IF(D27="","",VLOOKUP(S27,'G-3 Multipliers'!$P$3:$Q$6,2,FALSE))</f>
        <v/>
      </c>
      <c r="W27" s="390" t="str">
        <f t="shared" si="5"/>
        <v/>
      </c>
      <c r="X27" s="117"/>
      <c r="Y27" s="118"/>
      <c r="Z27" s="120"/>
      <c r="AG27" s="30" t="str">
        <f>IFERROR(INDEX('G-6 Hedgerow Data'!$BJ$3:$BJ$15,MATCH(D27,'G-6 Hedgerow Data'!$B$3:$B$15,0)),"")</f>
        <v/>
      </c>
    </row>
    <row r="28" spans="2:33" ht="13.8" x14ac:dyDescent="0.25">
      <c r="B28" s="110">
        <v>17</v>
      </c>
      <c r="C28" s="167"/>
      <c r="D28" s="63"/>
      <c r="E28" s="53"/>
      <c r="F28" s="411" t="str">
        <f>IF(D28="","",VLOOKUP(D28,'G-6 Hedgerow Data'!$B$2:$AG$15,2,FALSE))</f>
        <v/>
      </c>
      <c r="G28" s="363" t="str">
        <f>IF(D28="","",VLOOKUP(D28,'G-6 Hedgerow Data'!$B$2:$AG$15,3,FALSE))</f>
        <v/>
      </c>
      <c r="H28" s="114"/>
      <c r="I28" s="363" t="str">
        <f>IFERROR(VLOOKUP(H28,'G-1 All Habitats'!$Z$2:$AA$9,2,FALSE),"")</f>
        <v/>
      </c>
      <c r="J28" s="114"/>
      <c r="K28" s="382" t="str">
        <f>IF(J28="","",IF(VLOOKUP(J28,'G-3 Multipliers'!$L$3:$N$6,2,FALSE)=0,"Spatial Data Missing ⚠",VLOOKUP(J28,'G-3 Multipliers'!$L$3:$N$6,2,FALSE)))</f>
        <v/>
      </c>
      <c r="L28" s="368" t="str">
        <f>IF(J28="","",IF(VLOOKUP(J28,'G-3 Multipliers'!$L$3:$N$6,3,FALSE)=0,"Spatial Data Missing ⚠",VLOOKUP(J28,'G-3 Multipliers'!$L$3:$N$6,3,FALSE)))</f>
        <v/>
      </c>
      <c r="M28" s="362" t="str">
        <f>IF(OR(D28="",H28=""),"",(INDEX('G-6 Hedgerow Data'!$E$3:$I$15,MATCH(D28,'G-6 Hedgerow Data'!$B$3:$B$15,0),MATCH(H28,'G-6 Hedgerow Data'!$E$2:$I$2,0))))</f>
        <v/>
      </c>
      <c r="N28" s="159"/>
      <c r="O28" s="159"/>
      <c r="P28" s="370" t="str">
        <f t="shared" si="1"/>
        <v/>
      </c>
      <c r="Q28" s="383" t="str">
        <f t="shared" si="2"/>
        <v/>
      </c>
      <c r="R28" s="384" t="str">
        <f t="shared" si="0"/>
        <v/>
      </c>
      <c r="S28" s="398" t="str">
        <f>IF(D28="","",VLOOKUP(D28,'G-6 Hedgerow Data'!$B$3:$AG$15,31,FALSE))</f>
        <v/>
      </c>
      <c r="T28" s="370" t="str">
        <f t="shared" si="3"/>
        <v/>
      </c>
      <c r="U28" s="370" t="str">
        <f t="shared" si="4"/>
        <v/>
      </c>
      <c r="V28" s="386" t="str">
        <f>IF(D28="","",VLOOKUP(S28,'G-3 Multipliers'!$P$3:$Q$6,2,FALSE))</f>
        <v/>
      </c>
      <c r="W28" s="390" t="str">
        <f t="shared" si="5"/>
        <v/>
      </c>
      <c r="X28" s="117"/>
      <c r="Y28" s="118"/>
      <c r="Z28" s="120"/>
      <c r="AG28" s="30" t="str">
        <f>IFERROR(INDEX('G-6 Hedgerow Data'!$BJ$3:$BJ$15,MATCH(D28,'G-6 Hedgerow Data'!$B$3:$B$15,0)),"")</f>
        <v/>
      </c>
    </row>
    <row r="29" spans="2:33" ht="13.8" x14ac:dyDescent="0.25">
      <c r="B29" s="110">
        <v>18</v>
      </c>
      <c r="C29" s="167"/>
      <c r="D29" s="159"/>
      <c r="E29" s="139"/>
      <c r="F29" s="411" t="str">
        <f>IF(D29="","",VLOOKUP(D29,'G-6 Hedgerow Data'!$B$2:$AG$15,2,FALSE))</f>
        <v/>
      </c>
      <c r="G29" s="363" t="str">
        <f>IF(D29="","",VLOOKUP(D29,'G-6 Hedgerow Data'!$B$2:$AG$15,3,FALSE))</f>
        <v/>
      </c>
      <c r="H29" s="114"/>
      <c r="I29" s="363" t="str">
        <f>IFERROR(VLOOKUP(H29,'G-1 All Habitats'!$Z$2:$AA$9,2,FALSE),"")</f>
        <v/>
      </c>
      <c r="J29" s="114"/>
      <c r="K29" s="382" t="str">
        <f>IF(J29="","",IF(VLOOKUP(J29,'G-3 Multipliers'!$L$3:$N$6,2,FALSE)=0,"Spatial Data Missing ⚠",VLOOKUP(J29,'G-3 Multipliers'!$L$3:$N$6,2,FALSE)))</f>
        <v/>
      </c>
      <c r="L29" s="368" t="str">
        <f>IF(J29="","",IF(VLOOKUP(J29,'G-3 Multipliers'!$L$3:$N$6,3,FALSE)=0,"Spatial Data Missing ⚠",VLOOKUP(J29,'G-3 Multipliers'!$L$3:$N$6,3,FALSE)))</f>
        <v/>
      </c>
      <c r="M29" s="362" t="str">
        <f>IF(OR(D29="",H29=""),"",(INDEX('G-6 Hedgerow Data'!$E$3:$I$15,MATCH(D29,'G-6 Hedgerow Data'!$B$3:$B$15,0),MATCH(H29,'G-6 Hedgerow Data'!$E$2:$I$2,0))))</f>
        <v/>
      </c>
      <c r="N29" s="159"/>
      <c r="O29" s="159"/>
      <c r="P29" s="370" t="str">
        <f t="shared" si="1"/>
        <v/>
      </c>
      <c r="Q29" s="383" t="str">
        <f t="shared" si="2"/>
        <v/>
      </c>
      <c r="R29" s="384" t="str">
        <f t="shared" si="0"/>
        <v/>
      </c>
      <c r="S29" s="398" t="str">
        <f>IF(D29="","",VLOOKUP(D29,'G-6 Hedgerow Data'!$B$3:$AG$15,31,FALSE))</f>
        <v/>
      </c>
      <c r="T29" s="370" t="str">
        <f t="shared" si="3"/>
        <v/>
      </c>
      <c r="U29" s="370" t="str">
        <f t="shared" si="4"/>
        <v/>
      </c>
      <c r="V29" s="386" t="str">
        <f>IF(D29="","",VLOOKUP(S29,'G-3 Multipliers'!$P$3:$Q$6,2,FALSE))</f>
        <v/>
      </c>
      <c r="W29" s="390" t="str">
        <f t="shared" si="5"/>
        <v/>
      </c>
      <c r="X29" s="117"/>
      <c r="Y29" s="118"/>
      <c r="Z29" s="120"/>
      <c r="AG29" s="30" t="str">
        <f>IFERROR(INDEX('G-6 Hedgerow Data'!$BJ$3:$BJ$15,MATCH(D29,'G-6 Hedgerow Data'!$B$3:$B$15,0)),"")</f>
        <v/>
      </c>
    </row>
    <row r="30" spans="2:33" ht="13.8" x14ac:dyDescent="0.25">
      <c r="B30" s="110">
        <v>19</v>
      </c>
      <c r="C30" s="167"/>
      <c r="D30" s="159"/>
      <c r="E30" s="139"/>
      <c r="F30" s="398" t="str">
        <f>IF(D30="","",VLOOKUP(D30,'G-6 Hedgerow Data'!$B$2:$AG$15,2,FALSE))</f>
        <v/>
      </c>
      <c r="G30" s="368" t="str">
        <f>IF(D30="","",VLOOKUP(D30,'G-6 Hedgerow Data'!$B$2:$AG$15,3,FALSE))</f>
        <v/>
      </c>
      <c r="H30" s="115"/>
      <c r="I30" s="363" t="str">
        <f>IFERROR(VLOOKUP(H30,'G-1 All Habitats'!$Z$2:$AA$9,2,FALSE),"")</f>
        <v/>
      </c>
      <c r="J30" s="114"/>
      <c r="K30" s="382" t="str">
        <f>IF(J30="","",IF(VLOOKUP(J30,'G-3 Multipliers'!$L$3:$N$6,2,FALSE)=0,"Spatial Data Missing ⚠",VLOOKUP(J30,'G-3 Multipliers'!$L$3:$N$6,2,FALSE)))</f>
        <v/>
      </c>
      <c r="L30" s="368" t="str">
        <f>IF(J30="","",IF(VLOOKUP(J30,'G-3 Multipliers'!$L$3:$N$6,3,FALSE)=0,"Spatial Data Missing ⚠",VLOOKUP(J30,'G-3 Multipliers'!$L$3:$N$6,3,FALSE)))</f>
        <v/>
      </c>
      <c r="M30" s="362" t="str">
        <f>IF(OR(D30="",H30=""),"",(INDEX('G-6 Hedgerow Data'!$E$3:$I$15,MATCH(D30,'G-6 Hedgerow Data'!$B$3:$B$15,0),MATCH(H30,'G-6 Hedgerow Data'!$E$2:$I$2,0))))</f>
        <v/>
      </c>
      <c r="N30" s="159"/>
      <c r="O30" s="159"/>
      <c r="P30" s="370" t="str">
        <f t="shared" si="1"/>
        <v/>
      </c>
      <c r="Q30" s="383" t="str">
        <f t="shared" si="2"/>
        <v/>
      </c>
      <c r="R30" s="384" t="str">
        <f t="shared" si="0"/>
        <v/>
      </c>
      <c r="S30" s="398" t="str">
        <f>IF(D30="","",VLOOKUP(D30,'G-6 Hedgerow Data'!$B$3:$AG$15,31,FALSE))</f>
        <v/>
      </c>
      <c r="T30" s="370" t="str">
        <f t="shared" si="3"/>
        <v/>
      </c>
      <c r="U30" s="370" t="str">
        <f t="shared" si="4"/>
        <v/>
      </c>
      <c r="V30" s="386" t="str">
        <f>IF(D30="","",VLOOKUP(S30,'G-3 Multipliers'!$P$3:$Q$6,2,FALSE))</f>
        <v/>
      </c>
      <c r="W30" s="390" t="str">
        <f t="shared" si="5"/>
        <v/>
      </c>
      <c r="X30" s="117"/>
      <c r="Y30" s="118"/>
      <c r="Z30" s="120"/>
      <c r="AG30" s="30" t="str">
        <f>IFERROR(INDEX('G-6 Hedgerow Data'!$BJ$3:$BJ$15,MATCH(D30,'G-6 Hedgerow Data'!$B$3:$B$15,0)),"")</f>
        <v/>
      </c>
    </row>
    <row r="31" spans="2:33" ht="13.8" x14ac:dyDescent="0.25">
      <c r="B31" s="110">
        <v>20</v>
      </c>
      <c r="C31" s="167"/>
      <c r="D31" s="159"/>
      <c r="E31" s="139"/>
      <c r="F31" s="362" t="str">
        <f>IF(D31="","",VLOOKUP(D31,'G-6 Hedgerow Data'!$B$2:$AG$15,2,FALSE))</f>
        <v/>
      </c>
      <c r="G31" s="368" t="str">
        <f>IF(D31="","",VLOOKUP(D31,'G-6 Hedgerow Data'!$B$2:$AG$15,3,FALSE))</f>
        <v/>
      </c>
      <c r="H31" s="54"/>
      <c r="I31" s="363" t="str">
        <f>IFERROR(VLOOKUP(H31,'G-1 All Habitats'!$Z$2:$AA$9,2,FALSE),"")</f>
        <v/>
      </c>
      <c r="J31" s="114"/>
      <c r="K31" s="382" t="str">
        <f>IF(J31="","",IF(VLOOKUP(J31,'G-3 Multipliers'!$L$3:$N$6,2,FALSE)=0,"Spatial Data Missing ⚠",VLOOKUP(J31,'G-3 Multipliers'!$L$3:$N$6,2,FALSE)))</f>
        <v/>
      </c>
      <c r="L31" s="368" t="str">
        <f>IF(J31="","",IF(VLOOKUP(J31,'G-3 Multipliers'!$L$3:$N$6,3,FALSE)=0,"Spatial Data Missing ⚠",VLOOKUP(J31,'G-3 Multipliers'!$L$3:$N$6,3,FALSE)))</f>
        <v/>
      </c>
      <c r="M31" s="362" t="str">
        <f>IF(OR(D31="",H31=""),"",(INDEX('G-6 Hedgerow Data'!$E$3:$I$15,MATCH(D31,'G-6 Hedgerow Data'!$B$3:$B$15,0),MATCH(H31,'G-6 Hedgerow Data'!$E$2:$I$2,0))))</f>
        <v/>
      </c>
      <c r="N31" s="159"/>
      <c r="O31" s="159"/>
      <c r="P31" s="370" t="str">
        <f t="shared" si="1"/>
        <v/>
      </c>
      <c r="Q31" s="383" t="str">
        <f t="shared" si="2"/>
        <v/>
      </c>
      <c r="R31" s="384" t="str">
        <f t="shared" si="0"/>
        <v/>
      </c>
      <c r="S31" s="398" t="str">
        <f>IF(D31="","",VLOOKUP(D31,'G-6 Hedgerow Data'!$B$3:$AG$15,31,FALSE))</f>
        <v/>
      </c>
      <c r="T31" s="370" t="str">
        <f t="shared" si="3"/>
        <v/>
      </c>
      <c r="U31" s="370" t="str">
        <f t="shared" si="4"/>
        <v/>
      </c>
      <c r="V31" s="386" t="str">
        <f>IF(D31="","",VLOOKUP(S31,'G-3 Multipliers'!$P$3:$Q$6,2,FALSE))</f>
        <v/>
      </c>
      <c r="W31" s="390" t="str">
        <f t="shared" si="5"/>
        <v/>
      </c>
      <c r="X31" s="117"/>
      <c r="Y31" s="118"/>
      <c r="Z31" s="120"/>
      <c r="AG31" s="30" t="str">
        <f>IFERROR(INDEX('G-6 Hedgerow Data'!$BJ$3:$BJ$15,MATCH(D31,'G-6 Hedgerow Data'!$B$3:$B$15,0)),"")</f>
        <v/>
      </c>
    </row>
    <row r="32" spans="2:33" ht="13.8" x14ac:dyDescent="0.25">
      <c r="B32" s="110">
        <v>21</v>
      </c>
      <c r="C32" s="167"/>
      <c r="D32" s="159"/>
      <c r="E32" s="139"/>
      <c r="F32" s="362" t="str">
        <f>IF(D32="","",VLOOKUP(D32,'G-6 Hedgerow Data'!$B$2:$AG$15,2,FALSE))</f>
        <v/>
      </c>
      <c r="G32" s="368" t="str">
        <f>IF(D32="","",VLOOKUP(D32,'G-6 Hedgerow Data'!$B$2:$AG$15,3,FALSE))</f>
        <v/>
      </c>
      <c r="H32" s="54"/>
      <c r="I32" s="363" t="str">
        <f>IFERROR(VLOOKUP(H32,'G-1 All Habitats'!$Z$2:$AA$9,2,FALSE),"")</f>
        <v/>
      </c>
      <c r="J32" s="114"/>
      <c r="K32" s="382" t="str">
        <f>IF(J32="","",IF(VLOOKUP(J32,'G-3 Multipliers'!$L$3:$N$6,2,FALSE)=0,"Spatial Data Missing ⚠",VLOOKUP(J32,'G-3 Multipliers'!$L$3:$N$6,2,FALSE)))</f>
        <v/>
      </c>
      <c r="L32" s="368" t="str">
        <f>IF(J32="","",IF(VLOOKUP(J32,'G-3 Multipliers'!$L$3:$N$6,3,FALSE)=0,"Spatial Data Missing ⚠",VLOOKUP(J32,'G-3 Multipliers'!$L$3:$N$6,3,FALSE)))</f>
        <v/>
      </c>
      <c r="M32" s="362" t="str">
        <f>IF(OR(D32="",H32=""),"",(INDEX('G-6 Hedgerow Data'!$E$3:$I$15,MATCH(D32,'G-6 Hedgerow Data'!$B$3:$B$15,0),MATCH(H32,'G-6 Hedgerow Data'!$E$2:$I$2,0))))</f>
        <v/>
      </c>
      <c r="N32" s="159"/>
      <c r="O32" s="159"/>
      <c r="P32" s="370" t="str">
        <f t="shared" si="1"/>
        <v/>
      </c>
      <c r="Q32" s="383" t="str">
        <f t="shared" si="2"/>
        <v/>
      </c>
      <c r="R32" s="384" t="str">
        <f t="shared" si="0"/>
        <v/>
      </c>
      <c r="S32" s="398" t="str">
        <f>IF(D32="","",VLOOKUP(D32,'G-6 Hedgerow Data'!$B$3:$AG$15,31,FALSE))</f>
        <v/>
      </c>
      <c r="T32" s="370" t="str">
        <f t="shared" si="3"/>
        <v/>
      </c>
      <c r="U32" s="370" t="str">
        <f t="shared" si="4"/>
        <v/>
      </c>
      <c r="V32" s="386" t="str">
        <f>IF(D32="","",VLOOKUP(S32,'G-3 Multipliers'!$P$3:$Q$6,2,FALSE))</f>
        <v/>
      </c>
      <c r="W32" s="390" t="str">
        <f t="shared" si="5"/>
        <v/>
      </c>
      <c r="X32" s="117"/>
      <c r="Y32" s="118"/>
      <c r="Z32" s="120"/>
      <c r="AG32" s="30" t="str">
        <f>IFERROR(INDEX('G-6 Hedgerow Data'!$BJ$3:$BJ$15,MATCH(D32,'G-6 Hedgerow Data'!$B$3:$B$15,0)),"")</f>
        <v/>
      </c>
    </row>
    <row r="33" spans="2:33" ht="13.8" x14ac:dyDescent="0.25">
      <c r="B33" s="110">
        <v>22</v>
      </c>
      <c r="C33" s="167"/>
      <c r="D33" s="159"/>
      <c r="E33" s="139"/>
      <c r="F33" s="362" t="str">
        <f>IF(D33="","",VLOOKUP(D33,'G-6 Hedgerow Data'!$B$2:$AG$15,2,FALSE))</f>
        <v/>
      </c>
      <c r="G33" s="368" t="str">
        <f>IF(D33="","",VLOOKUP(D33,'G-6 Hedgerow Data'!$B$2:$AG$15,3,FALSE))</f>
        <v/>
      </c>
      <c r="H33" s="54"/>
      <c r="I33" s="363" t="str">
        <f>IFERROR(VLOOKUP(H33,'G-1 All Habitats'!$Z$2:$AA$9,2,FALSE),"")</f>
        <v/>
      </c>
      <c r="J33" s="114"/>
      <c r="K33" s="382" t="str">
        <f>IF(J33="","",IF(VLOOKUP(J33,'G-3 Multipliers'!$L$3:$N$6,2,FALSE)=0,"Spatial Data Missing ⚠",VLOOKUP(J33,'G-3 Multipliers'!$L$3:$N$6,2,FALSE)))</f>
        <v/>
      </c>
      <c r="L33" s="368" t="str">
        <f>IF(J33="","",IF(VLOOKUP(J33,'G-3 Multipliers'!$L$3:$N$6,3,FALSE)=0,"Spatial Data Missing ⚠",VLOOKUP(J33,'G-3 Multipliers'!$L$3:$N$6,3,FALSE)))</f>
        <v/>
      </c>
      <c r="M33" s="362" t="str">
        <f>IF(OR(D33="",H33=""),"",(INDEX('G-6 Hedgerow Data'!$E$3:$I$15,MATCH(D33,'G-6 Hedgerow Data'!$B$3:$B$15,0),MATCH(H33,'G-6 Hedgerow Data'!$E$2:$I$2,0))))</f>
        <v/>
      </c>
      <c r="N33" s="159"/>
      <c r="O33" s="159"/>
      <c r="P33" s="370" t="str">
        <f t="shared" si="1"/>
        <v/>
      </c>
      <c r="Q33" s="383" t="str">
        <f t="shared" si="2"/>
        <v/>
      </c>
      <c r="R33" s="384" t="str">
        <f t="shared" si="0"/>
        <v/>
      </c>
      <c r="S33" s="398" t="str">
        <f>IF(D33="","",VLOOKUP(D33,'G-6 Hedgerow Data'!$B$3:$AG$15,31,FALSE))</f>
        <v/>
      </c>
      <c r="T33" s="370" t="str">
        <f t="shared" si="3"/>
        <v/>
      </c>
      <c r="U33" s="370" t="str">
        <f t="shared" si="4"/>
        <v/>
      </c>
      <c r="V33" s="386" t="str">
        <f>IF(D33="","",VLOOKUP(S33,'G-3 Multipliers'!$P$3:$Q$6,2,FALSE))</f>
        <v/>
      </c>
      <c r="W33" s="390" t="str">
        <f t="shared" si="5"/>
        <v/>
      </c>
      <c r="X33" s="117"/>
      <c r="Y33" s="118"/>
      <c r="Z33" s="120"/>
      <c r="AG33" s="30" t="str">
        <f>IFERROR(INDEX('G-6 Hedgerow Data'!$BJ$3:$BJ$15,MATCH(D33,'G-6 Hedgerow Data'!$B$3:$B$15,0)),"")</f>
        <v/>
      </c>
    </row>
    <row r="34" spans="2:33" ht="13.8" x14ac:dyDescent="0.25">
      <c r="B34" s="110">
        <v>23</v>
      </c>
      <c r="C34" s="167"/>
      <c r="D34" s="159"/>
      <c r="E34" s="139"/>
      <c r="F34" s="362" t="str">
        <f>IF(D34="","",VLOOKUP(D34,'G-6 Hedgerow Data'!$B$2:$AG$15,2,FALSE))</f>
        <v/>
      </c>
      <c r="G34" s="368" t="str">
        <f>IF(D34="","",VLOOKUP(D34,'G-6 Hedgerow Data'!$B$2:$AG$15,3,FALSE))</f>
        <v/>
      </c>
      <c r="H34" s="54"/>
      <c r="I34" s="363" t="str">
        <f>IFERROR(VLOOKUP(H34,'G-1 All Habitats'!$Z$2:$AA$9,2,FALSE),"")</f>
        <v/>
      </c>
      <c r="J34" s="114"/>
      <c r="K34" s="382" t="str">
        <f>IF(J34="","",IF(VLOOKUP(J34,'G-3 Multipliers'!$L$3:$N$6,2,FALSE)=0,"Spatial Data Missing ⚠",VLOOKUP(J34,'G-3 Multipliers'!$L$3:$N$6,2,FALSE)))</f>
        <v/>
      </c>
      <c r="L34" s="368" t="str">
        <f>IF(J34="","",IF(VLOOKUP(J34,'G-3 Multipliers'!$L$3:$N$6,3,FALSE)=0,"Spatial Data Missing ⚠",VLOOKUP(J34,'G-3 Multipliers'!$L$3:$N$6,3,FALSE)))</f>
        <v/>
      </c>
      <c r="M34" s="362" t="str">
        <f>IF(OR(D34="",H34=""),"",(INDEX('G-6 Hedgerow Data'!$E$3:$I$15,MATCH(D34,'G-6 Hedgerow Data'!$B$3:$B$15,0),MATCH(H34,'G-6 Hedgerow Data'!$E$2:$I$2,0))))</f>
        <v/>
      </c>
      <c r="N34" s="159"/>
      <c r="O34" s="159"/>
      <c r="P34" s="370" t="str">
        <f t="shared" si="1"/>
        <v/>
      </c>
      <c r="Q34" s="383" t="str">
        <f t="shared" si="2"/>
        <v/>
      </c>
      <c r="R34" s="384" t="str">
        <f t="shared" si="0"/>
        <v/>
      </c>
      <c r="S34" s="398" t="str">
        <f>IF(D34="","",VLOOKUP(D34,'G-6 Hedgerow Data'!$B$3:$AG$15,31,FALSE))</f>
        <v/>
      </c>
      <c r="T34" s="370" t="str">
        <f t="shared" si="3"/>
        <v/>
      </c>
      <c r="U34" s="370" t="str">
        <f t="shared" si="4"/>
        <v/>
      </c>
      <c r="V34" s="386" t="str">
        <f>IF(D34="","",VLOOKUP(S34,'G-3 Multipliers'!$P$3:$Q$6,2,FALSE))</f>
        <v/>
      </c>
      <c r="W34" s="390" t="str">
        <f t="shared" si="5"/>
        <v/>
      </c>
      <c r="X34" s="117"/>
      <c r="Y34" s="118"/>
      <c r="Z34" s="120"/>
      <c r="AG34" s="30" t="str">
        <f>IFERROR(INDEX('G-6 Hedgerow Data'!$BJ$3:$BJ$15,MATCH(D34,'G-6 Hedgerow Data'!$B$3:$B$15,0)),"")</f>
        <v/>
      </c>
    </row>
    <row r="35" spans="2:33" ht="13.8" x14ac:dyDescent="0.25">
      <c r="B35" s="110">
        <v>24</v>
      </c>
      <c r="C35" s="167"/>
      <c r="D35" s="159"/>
      <c r="E35" s="139"/>
      <c r="F35" s="362" t="str">
        <f>IF(D35="","",VLOOKUP(D35,'G-6 Hedgerow Data'!$B$2:$AG$15,2,FALSE))</f>
        <v/>
      </c>
      <c r="G35" s="368" t="str">
        <f>IF(D35="","",VLOOKUP(D35,'G-6 Hedgerow Data'!$B$2:$AG$15,3,FALSE))</f>
        <v/>
      </c>
      <c r="H35" s="54"/>
      <c r="I35" s="363" t="str">
        <f>IFERROR(VLOOKUP(H35,'G-1 All Habitats'!$Z$2:$AA$9,2,FALSE),"")</f>
        <v/>
      </c>
      <c r="J35" s="114"/>
      <c r="K35" s="382" t="str">
        <f>IF(J35="","",IF(VLOOKUP(J35,'G-3 Multipliers'!$L$3:$N$6,2,FALSE)=0,"Spatial Data Missing ⚠",VLOOKUP(J35,'G-3 Multipliers'!$L$3:$N$6,2,FALSE)))</f>
        <v/>
      </c>
      <c r="L35" s="368" t="str">
        <f>IF(J35="","",IF(VLOOKUP(J35,'G-3 Multipliers'!$L$3:$N$6,3,FALSE)=0,"Spatial Data Missing ⚠",VLOOKUP(J35,'G-3 Multipliers'!$L$3:$N$6,3,FALSE)))</f>
        <v/>
      </c>
      <c r="M35" s="362" t="str">
        <f>IF(OR(D35="",H35=""),"",(INDEX('G-6 Hedgerow Data'!$E$3:$I$15,MATCH(D35,'G-6 Hedgerow Data'!$B$3:$B$15,0),MATCH(H35,'G-6 Hedgerow Data'!$E$2:$I$2,0))))</f>
        <v/>
      </c>
      <c r="N35" s="159"/>
      <c r="O35" s="159"/>
      <c r="P35" s="370" t="str">
        <f t="shared" si="1"/>
        <v/>
      </c>
      <c r="Q35" s="383" t="str">
        <f t="shared" si="2"/>
        <v/>
      </c>
      <c r="R35" s="384" t="str">
        <f t="shared" si="0"/>
        <v/>
      </c>
      <c r="S35" s="398" t="str">
        <f>IF(D35="","",VLOOKUP(D35,'G-6 Hedgerow Data'!$B$3:$AG$15,31,FALSE))</f>
        <v/>
      </c>
      <c r="T35" s="370" t="str">
        <f t="shared" si="3"/>
        <v/>
      </c>
      <c r="U35" s="370" t="str">
        <f t="shared" si="4"/>
        <v/>
      </c>
      <c r="V35" s="386" t="str">
        <f>IF(D35="","",VLOOKUP(S35,'G-3 Multipliers'!$P$3:$Q$6,2,FALSE))</f>
        <v/>
      </c>
      <c r="W35" s="390" t="str">
        <f t="shared" si="5"/>
        <v/>
      </c>
      <c r="X35" s="117"/>
      <c r="Y35" s="118"/>
      <c r="Z35" s="120"/>
      <c r="AG35" s="30" t="str">
        <f>IFERROR(INDEX('G-6 Hedgerow Data'!$BJ$3:$BJ$15,MATCH(D35,'G-6 Hedgerow Data'!$B$3:$B$15,0)),"")</f>
        <v/>
      </c>
    </row>
    <row r="36" spans="2:33" ht="13.8" x14ac:dyDescent="0.25">
      <c r="B36" s="110">
        <v>25</v>
      </c>
      <c r="C36" s="167"/>
      <c r="D36" s="159"/>
      <c r="E36" s="139"/>
      <c r="F36" s="362" t="str">
        <f>IF(D36="","",VLOOKUP(D36,'G-6 Hedgerow Data'!$B$2:$AG$15,2,FALSE))</f>
        <v/>
      </c>
      <c r="G36" s="368" t="str">
        <f>IF(D36="","",VLOOKUP(D36,'G-6 Hedgerow Data'!$B$2:$AG$15,3,FALSE))</f>
        <v/>
      </c>
      <c r="H36" s="54"/>
      <c r="I36" s="363" t="str">
        <f>IFERROR(VLOOKUP(H36,'G-1 All Habitats'!$Z$2:$AA$9,2,FALSE),"")</f>
        <v/>
      </c>
      <c r="J36" s="114"/>
      <c r="K36" s="382" t="str">
        <f>IF(J36="","",IF(VLOOKUP(J36,'G-3 Multipliers'!$L$3:$N$6,2,FALSE)=0,"Spatial Data Missing ⚠",VLOOKUP(J36,'G-3 Multipliers'!$L$3:$N$6,2,FALSE)))</f>
        <v/>
      </c>
      <c r="L36" s="368" t="str">
        <f>IF(J36="","",IF(VLOOKUP(J36,'G-3 Multipliers'!$L$3:$N$6,3,FALSE)=0,"Spatial Data Missing ⚠",VLOOKUP(J36,'G-3 Multipliers'!$L$3:$N$6,3,FALSE)))</f>
        <v/>
      </c>
      <c r="M36" s="362" t="str">
        <f>IF(OR(D36="",H36=""),"",(INDEX('G-6 Hedgerow Data'!$E$3:$I$15,MATCH(D36,'G-6 Hedgerow Data'!$B$3:$B$15,0),MATCH(H36,'G-6 Hedgerow Data'!$E$2:$I$2,0))))</f>
        <v/>
      </c>
      <c r="N36" s="159"/>
      <c r="O36" s="159"/>
      <c r="P36" s="370" t="str">
        <f t="shared" si="1"/>
        <v/>
      </c>
      <c r="Q36" s="383" t="str">
        <f t="shared" si="2"/>
        <v/>
      </c>
      <c r="R36" s="384" t="str">
        <f t="shared" si="0"/>
        <v/>
      </c>
      <c r="S36" s="398" t="str">
        <f>IF(D36="","",VLOOKUP(D36,'G-6 Hedgerow Data'!$B$3:$AG$15,31,FALSE))</f>
        <v/>
      </c>
      <c r="T36" s="370" t="str">
        <f t="shared" si="3"/>
        <v/>
      </c>
      <c r="U36" s="370" t="str">
        <f t="shared" si="4"/>
        <v/>
      </c>
      <c r="V36" s="386" t="str">
        <f>IF(D36="","",VLOOKUP(S36,'G-3 Multipliers'!$P$3:$Q$6,2,FALSE))</f>
        <v/>
      </c>
      <c r="W36" s="390" t="str">
        <f t="shared" si="5"/>
        <v/>
      </c>
      <c r="X36" s="117"/>
      <c r="Y36" s="118"/>
      <c r="Z36" s="120"/>
      <c r="AG36" s="30" t="str">
        <f>IFERROR(INDEX('G-6 Hedgerow Data'!$BJ$3:$BJ$15,MATCH(D36,'G-6 Hedgerow Data'!$B$3:$B$15,0)),"")</f>
        <v/>
      </c>
    </row>
    <row r="37" spans="2:33" ht="13.8" x14ac:dyDescent="0.25">
      <c r="B37" s="110">
        <v>26</v>
      </c>
      <c r="C37" s="167"/>
      <c r="D37" s="159"/>
      <c r="E37" s="139"/>
      <c r="F37" s="411" t="str">
        <f>IF(D37="","",VLOOKUP(D37,'G-6 Hedgerow Data'!$B$2:$AG$15,2,FALSE))</f>
        <v/>
      </c>
      <c r="G37" s="363" t="str">
        <f>IF(D37="","",VLOOKUP(D37,'G-6 Hedgerow Data'!$B$2:$AG$15,3,FALSE))</f>
        <v/>
      </c>
      <c r="H37" s="114"/>
      <c r="I37" s="363" t="str">
        <f>IFERROR(VLOOKUP(H37,'G-1 All Habitats'!$Z$2:$AA$9,2,FALSE),"")</f>
        <v/>
      </c>
      <c r="J37" s="114"/>
      <c r="K37" s="382" t="str">
        <f>IF(J37="","",IF(VLOOKUP(J37,'G-3 Multipliers'!$L$3:$N$6,2,FALSE)=0,"Spatial Data Missing ⚠",VLOOKUP(J37,'G-3 Multipliers'!$L$3:$N$6,2,FALSE)))</f>
        <v/>
      </c>
      <c r="L37" s="368" t="str">
        <f>IF(J37="","",IF(VLOOKUP(J37,'G-3 Multipliers'!$L$3:$N$6,3,FALSE)=0,"Spatial Data Missing ⚠",VLOOKUP(J37,'G-3 Multipliers'!$L$3:$N$6,3,FALSE)))</f>
        <v/>
      </c>
      <c r="M37" s="362" t="str">
        <f>IF(OR(D37="",H37=""),"",(INDEX('G-6 Hedgerow Data'!$E$3:$I$15,MATCH(D37,'G-6 Hedgerow Data'!$B$3:$B$15,0),MATCH(H37,'G-6 Hedgerow Data'!$E$2:$I$2,0))))</f>
        <v/>
      </c>
      <c r="N37" s="159"/>
      <c r="O37" s="159"/>
      <c r="P37" s="370" t="str">
        <f t="shared" si="1"/>
        <v/>
      </c>
      <c r="Q37" s="383" t="str">
        <f t="shared" si="2"/>
        <v/>
      </c>
      <c r="R37" s="384" t="str">
        <f t="shared" si="0"/>
        <v/>
      </c>
      <c r="S37" s="398" t="str">
        <f>IF(D37="","",VLOOKUP(D37,'G-6 Hedgerow Data'!$B$3:$AG$15,31,FALSE))</f>
        <v/>
      </c>
      <c r="T37" s="370" t="str">
        <f t="shared" si="3"/>
        <v/>
      </c>
      <c r="U37" s="370" t="str">
        <f t="shared" si="4"/>
        <v/>
      </c>
      <c r="V37" s="386" t="str">
        <f>IF(D37="","",VLOOKUP(S37,'G-3 Multipliers'!$P$3:$Q$6,2,FALSE))</f>
        <v/>
      </c>
      <c r="W37" s="390" t="str">
        <f t="shared" si="5"/>
        <v/>
      </c>
      <c r="X37" s="117"/>
      <c r="Y37" s="118"/>
      <c r="Z37" s="120"/>
      <c r="AG37" s="30" t="str">
        <f>IFERROR(INDEX('G-6 Hedgerow Data'!$BJ$3:$BJ$15,MATCH(D37,'G-6 Hedgerow Data'!$B$3:$B$15,0)),"")</f>
        <v/>
      </c>
    </row>
    <row r="38" spans="2:33" ht="13.8" x14ac:dyDescent="0.25">
      <c r="B38" s="110">
        <v>27</v>
      </c>
      <c r="C38" s="167"/>
      <c r="D38" s="159"/>
      <c r="E38" s="139"/>
      <c r="F38" s="411" t="str">
        <f>IF(D38="","",VLOOKUP(D38,'G-6 Hedgerow Data'!$B$2:$AG$15,2,FALSE))</f>
        <v/>
      </c>
      <c r="G38" s="363" t="str">
        <f>IF(D38="","",VLOOKUP(D38,'G-6 Hedgerow Data'!$B$2:$AG$15,3,FALSE))</f>
        <v/>
      </c>
      <c r="H38" s="114"/>
      <c r="I38" s="363" t="str">
        <f>IFERROR(VLOOKUP(H38,'G-1 All Habitats'!$Z$2:$AA$9,2,FALSE),"")</f>
        <v/>
      </c>
      <c r="J38" s="114"/>
      <c r="K38" s="382" t="str">
        <f>IF(J38="","",IF(VLOOKUP(J38,'G-3 Multipliers'!$L$3:$N$6,2,FALSE)=0,"Spatial Data Missing ⚠",VLOOKUP(J38,'G-3 Multipliers'!$L$3:$N$6,2,FALSE)))</f>
        <v/>
      </c>
      <c r="L38" s="368" t="str">
        <f>IF(J38="","",IF(VLOOKUP(J38,'G-3 Multipliers'!$L$3:$N$6,3,FALSE)=0,"Spatial Data Missing ⚠",VLOOKUP(J38,'G-3 Multipliers'!$L$3:$N$6,3,FALSE)))</f>
        <v/>
      </c>
      <c r="M38" s="362" t="str">
        <f>IF(OR(D38="",H38=""),"",(INDEX('G-6 Hedgerow Data'!$E$3:$I$15,MATCH(D38,'G-6 Hedgerow Data'!$B$3:$B$15,0),MATCH(H38,'G-6 Hedgerow Data'!$E$2:$I$2,0))))</f>
        <v/>
      </c>
      <c r="N38" s="159"/>
      <c r="O38" s="159"/>
      <c r="P38" s="370" t="str">
        <f t="shared" si="1"/>
        <v/>
      </c>
      <c r="Q38" s="383" t="str">
        <f t="shared" si="2"/>
        <v/>
      </c>
      <c r="R38" s="384" t="str">
        <f t="shared" si="0"/>
        <v/>
      </c>
      <c r="S38" s="398" t="str">
        <f>IF(D38="","",VLOOKUP(D38,'G-6 Hedgerow Data'!$B$3:$AG$15,31,FALSE))</f>
        <v/>
      </c>
      <c r="T38" s="370" t="str">
        <f t="shared" si="3"/>
        <v/>
      </c>
      <c r="U38" s="370" t="str">
        <f t="shared" si="4"/>
        <v/>
      </c>
      <c r="V38" s="386" t="str">
        <f>IF(D38="","",VLOOKUP(S38,'G-3 Multipliers'!$P$3:$Q$6,2,FALSE))</f>
        <v/>
      </c>
      <c r="W38" s="390" t="str">
        <f t="shared" si="5"/>
        <v/>
      </c>
      <c r="X38" s="117"/>
      <c r="Y38" s="118"/>
      <c r="Z38" s="120"/>
      <c r="AG38" s="30" t="str">
        <f>IFERROR(INDEX('G-6 Hedgerow Data'!$BJ$3:$BJ$15,MATCH(D38,'G-6 Hedgerow Data'!$B$3:$B$15,0)),"")</f>
        <v/>
      </c>
    </row>
    <row r="39" spans="2:33" ht="13.8" x14ac:dyDescent="0.25">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3.8" x14ac:dyDescent="0.25">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3.8" x14ac:dyDescent="0.25">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3.8" x14ac:dyDescent="0.25">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3.8" x14ac:dyDescent="0.25">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3.8" x14ac:dyDescent="0.25">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3.8" x14ac:dyDescent="0.25">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3.8" x14ac:dyDescent="0.25">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3.8" x14ac:dyDescent="0.25">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3.8" x14ac:dyDescent="0.25">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3.8" x14ac:dyDescent="0.25">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3.8" x14ac:dyDescent="0.25">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3.8" x14ac:dyDescent="0.25">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3.8" x14ac:dyDescent="0.25">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3.8" x14ac:dyDescent="0.25">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3.8" x14ac:dyDescent="0.25">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3.8" x14ac:dyDescent="0.25">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3.8" x14ac:dyDescent="0.25">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3.8" x14ac:dyDescent="0.25">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3.8" x14ac:dyDescent="0.25">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3.8" x14ac:dyDescent="0.25">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3.8" x14ac:dyDescent="0.25">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3.8" x14ac:dyDescent="0.25">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3.8" x14ac:dyDescent="0.25">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3.8" x14ac:dyDescent="0.25">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3.8" x14ac:dyDescent="0.25">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3.8" x14ac:dyDescent="0.25">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3.8" x14ac:dyDescent="0.25">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3.8" x14ac:dyDescent="0.25">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3.8" x14ac:dyDescent="0.25">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3.8" x14ac:dyDescent="0.25">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3.8" x14ac:dyDescent="0.25">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3.8" x14ac:dyDescent="0.25">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3.8" x14ac:dyDescent="0.25">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3.8" x14ac:dyDescent="0.25">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3.8" x14ac:dyDescent="0.25">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3.8" x14ac:dyDescent="0.25">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3.8" x14ac:dyDescent="0.25">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3.8" x14ac:dyDescent="0.25">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3.8" x14ac:dyDescent="0.25">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3.8" x14ac:dyDescent="0.25">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3.8" x14ac:dyDescent="0.25">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3.8" x14ac:dyDescent="0.25">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3.8" x14ac:dyDescent="0.25">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3.8" x14ac:dyDescent="0.25">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3.8" x14ac:dyDescent="0.25">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3.8" x14ac:dyDescent="0.25">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3.8" x14ac:dyDescent="0.25">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3.8" x14ac:dyDescent="0.25">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3.8" x14ac:dyDescent="0.25">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3.8" x14ac:dyDescent="0.25">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3.8" x14ac:dyDescent="0.25">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3.8" x14ac:dyDescent="0.25">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3.8" x14ac:dyDescent="0.25">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3.8" x14ac:dyDescent="0.25">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3.8" x14ac:dyDescent="0.25">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3.8" x14ac:dyDescent="0.25">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3.8" x14ac:dyDescent="0.25">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3.8" x14ac:dyDescent="0.25">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3.8" x14ac:dyDescent="0.25">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3.8" x14ac:dyDescent="0.25">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3.8" x14ac:dyDescent="0.25">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3.8" x14ac:dyDescent="0.25">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3.8" x14ac:dyDescent="0.25">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3.8" x14ac:dyDescent="0.25">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3.8" x14ac:dyDescent="0.25">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3.8" x14ac:dyDescent="0.25">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3.8" x14ac:dyDescent="0.25">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3.8" x14ac:dyDescent="0.25">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3.8" x14ac:dyDescent="0.25">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3.8" x14ac:dyDescent="0.25">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3.8" x14ac:dyDescent="0.25">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3.8" x14ac:dyDescent="0.25">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3.8" x14ac:dyDescent="0.25">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3.8" x14ac:dyDescent="0.25">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3.8" x14ac:dyDescent="0.25">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3.8" x14ac:dyDescent="0.25">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3.8" x14ac:dyDescent="0.25">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3.8" x14ac:dyDescent="0.25">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3.8" x14ac:dyDescent="0.25">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3.8" x14ac:dyDescent="0.25">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3.8" x14ac:dyDescent="0.25">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3.8" x14ac:dyDescent="0.25">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3.8" x14ac:dyDescent="0.25">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3.8" x14ac:dyDescent="0.25">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3.8" x14ac:dyDescent="0.25">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3.8" x14ac:dyDescent="0.25">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3.8" x14ac:dyDescent="0.25">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3.8" x14ac:dyDescent="0.25">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3.8" x14ac:dyDescent="0.25">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3.8" x14ac:dyDescent="0.25">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3.8" x14ac:dyDescent="0.25">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3.8" x14ac:dyDescent="0.25">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3.8" x14ac:dyDescent="0.25">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3.8" x14ac:dyDescent="0.25">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3.8" x14ac:dyDescent="0.25">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3.8" x14ac:dyDescent="0.25">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3.8" x14ac:dyDescent="0.25">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3.8" x14ac:dyDescent="0.25">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3.8" x14ac:dyDescent="0.25">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3.8" x14ac:dyDescent="0.25">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3.8" x14ac:dyDescent="0.25">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3.8" x14ac:dyDescent="0.25">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3.8" x14ac:dyDescent="0.25">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3.8" x14ac:dyDescent="0.25">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3.8" x14ac:dyDescent="0.25">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3.8" x14ac:dyDescent="0.25">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3.8" x14ac:dyDescent="0.25">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3.8" x14ac:dyDescent="0.25">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3.8" x14ac:dyDescent="0.25">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3.8" x14ac:dyDescent="0.25">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3.8" x14ac:dyDescent="0.25">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3.8" x14ac:dyDescent="0.25">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3.8" x14ac:dyDescent="0.25">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3.8" x14ac:dyDescent="0.25">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3.8" x14ac:dyDescent="0.25">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3.8" x14ac:dyDescent="0.25">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3.8" x14ac:dyDescent="0.25">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3.8" x14ac:dyDescent="0.25">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3.8" x14ac:dyDescent="0.25">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3.8" x14ac:dyDescent="0.25">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3.8" x14ac:dyDescent="0.25">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3.8" x14ac:dyDescent="0.25">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3.8" x14ac:dyDescent="0.25">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3.8" x14ac:dyDescent="0.25">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3.8" x14ac:dyDescent="0.25">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3.8" x14ac:dyDescent="0.25">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3.8" x14ac:dyDescent="0.25">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3.8" x14ac:dyDescent="0.25">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3.8" x14ac:dyDescent="0.25">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3.8" x14ac:dyDescent="0.25">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3.8" x14ac:dyDescent="0.25">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3.8" x14ac:dyDescent="0.25">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3.8" x14ac:dyDescent="0.25">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3.8" x14ac:dyDescent="0.25">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3.8" x14ac:dyDescent="0.25">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3.8" x14ac:dyDescent="0.25">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3.8" x14ac:dyDescent="0.25">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3.8" x14ac:dyDescent="0.25">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3.8" x14ac:dyDescent="0.25">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3.8" x14ac:dyDescent="0.25">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3.8" x14ac:dyDescent="0.25">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3.8" x14ac:dyDescent="0.25">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3.8" x14ac:dyDescent="0.25">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3.8" x14ac:dyDescent="0.25">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3.8" x14ac:dyDescent="0.25">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3.8" x14ac:dyDescent="0.25">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3.8" x14ac:dyDescent="0.25">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3.8" x14ac:dyDescent="0.25">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3.8" x14ac:dyDescent="0.25">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3.8" x14ac:dyDescent="0.25">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3.8" x14ac:dyDescent="0.25">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3.8" x14ac:dyDescent="0.25">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3.8" x14ac:dyDescent="0.25">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3.8" x14ac:dyDescent="0.25">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3.8" x14ac:dyDescent="0.25">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3.8" x14ac:dyDescent="0.25">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3.8" x14ac:dyDescent="0.25">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3.8" x14ac:dyDescent="0.25">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3.8" x14ac:dyDescent="0.25">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3.8" x14ac:dyDescent="0.25">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3.8" x14ac:dyDescent="0.25">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3.8" x14ac:dyDescent="0.25">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3.8" x14ac:dyDescent="0.25">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3.8" x14ac:dyDescent="0.25">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3.8" x14ac:dyDescent="0.25">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3.8" x14ac:dyDescent="0.25">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3.8" x14ac:dyDescent="0.25">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3.8" x14ac:dyDescent="0.25">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3.8" x14ac:dyDescent="0.25">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3.8" x14ac:dyDescent="0.25">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3.8" x14ac:dyDescent="0.25">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3.8" x14ac:dyDescent="0.25">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3.8" x14ac:dyDescent="0.25">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3.8" x14ac:dyDescent="0.25">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3.8" x14ac:dyDescent="0.25">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3.8" x14ac:dyDescent="0.25">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3.8" x14ac:dyDescent="0.25">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3.8" x14ac:dyDescent="0.25">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3.8" x14ac:dyDescent="0.25">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3.8" x14ac:dyDescent="0.25">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3.8" x14ac:dyDescent="0.25">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3.8" x14ac:dyDescent="0.25">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3.8" x14ac:dyDescent="0.25">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3.8" x14ac:dyDescent="0.25">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3.8" x14ac:dyDescent="0.25">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3.8" x14ac:dyDescent="0.25">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3.8" x14ac:dyDescent="0.25">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3.8" x14ac:dyDescent="0.25">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3.8" x14ac:dyDescent="0.25">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3.8" x14ac:dyDescent="0.25">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3.8" x14ac:dyDescent="0.25">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3.8" x14ac:dyDescent="0.25">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3.8" x14ac:dyDescent="0.25">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3.8" x14ac:dyDescent="0.25">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3.8" x14ac:dyDescent="0.25">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3.8" x14ac:dyDescent="0.25">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3.8" x14ac:dyDescent="0.25">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3.8" x14ac:dyDescent="0.25">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3.8" x14ac:dyDescent="0.25">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3.8" x14ac:dyDescent="0.25">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3.8" x14ac:dyDescent="0.25">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3.8" x14ac:dyDescent="0.25">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3.8" x14ac:dyDescent="0.25">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3.8" x14ac:dyDescent="0.25">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3.8" x14ac:dyDescent="0.25">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3.8" x14ac:dyDescent="0.25">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3.8" x14ac:dyDescent="0.25">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3.8" x14ac:dyDescent="0.25">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3.8" x14ac:dyDescent="0.25">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3.8" x14ac:dyDescent="0.25">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3.8" x14ac:dyDescent="0.25">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3.8" x14ac:dyDescent="0.25">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3.8" x14ac:dyDescent="0.25">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3.8" x14ac:dyDescent="0.25">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3.8" x14ac:dyDescent="0.25">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3.8" x14ac:dyDescent="0.25">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3.8" x14ac:dyDescent="0.25">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3.8" x14ac:dyDescent="0.25">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3.8" x14ac:dyDescent="0.25">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4.4" thickBot="1" x14ac:dyDescent="0.3">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x14ac:dyDescent="0.3">
      <c r="B260" s="34"/>
      <c r="C260" s="34"/>
      <c r="D260" s="223"/>
      <c r="E260" s="366">
        <f>SUM(E12:E259)</f>
        <v>2.4900000000000002</v>
      </c>
      <c r="F260" s="34"/>
      <c r="G260" s="34"/>
      <c r="H260" s="34"/>
      <c r="I260" s="34"/>
      <c r="J260" s="34"/>
      <c r="K260" s="34"/>
      <c r="L260" s="34"/>
      <c r="M260" s="34"/>
      <c r="N260" s="34"/>
      <c r="O260" s="34"/>
      <c r="P260" s="34"/>
      <c r="Q260" s="34"/>
      <c r="R260" s="34"/>
      <c r="S260" s="34"/>
      <c r="T260" s="34"/>
      <c r="U260" s="1585"/>
      <c r="V260" s="1586"/>
      <c r="W260" s="366">
        <f>SUM(W12:W259)</f>
        <v>16.669627715952004</v>
      </c>
      <c r="X260" s="34"/>
      <c r="Y260" s="34"/>
    </row>
    <row r="261" spans="2:33" ht="28.95" customHeight="1" x14ac:dyDescent="0.25">
      <c r="E261" s="1587"/>
      <c r="F261" s="1587"/>
      <c r="G261" s="1587"/>
      <c r="H261" s="1587"/>
      <c r="I261" s="1587"/>
      <c r="J261" s="1587"/>
    </row>
    <row r="262" spans="2:33" ht="27" customHeight="1" x14ac:dyDescent="0.25"/>
    <row r="263" spans="2:33" ht="13.8" x14ac:dyDescent="0.25"/>
    <row r="264" spans="2:33" ht="13.8" x14ac:dyDescent="0.25"/>
    <row r="265" spans="2:33" ht="13.8" x14ac:dyDescent="0.25"/>
    <row r="266" spans="2:33" ht="13.8" x14ac:dyDescent="0.25"/>
    <row r="267" spans="2:33" ht="13.8" x14ac:dyDescent="0.25"/>
    <row r="268" spans="2:33" ht="13.8" x14ac:dyDescent="0.25"/>
  </sheetData>
  <sheetProtection algorithmName="SHA-512" hashValue="c4mYJqbRMyt8mWxlYSeVqJX5C9iPysJy8/liH0eF5Z97nxnrq6cECi5zQuTeq88Re82EFYqwLOPpcPdkaKbGmQ==" saltValue="td8X8/CB0RZGs4Ng9hsB9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E261:J261"/>
    <mergeCell ref="B2:D2"/>
    <mergeCell ref="B3:D4"/>
    <mergeCell ref="D10:E10"/>
    <mergeCell ref="H10:I10"/>
    <mergeCell ref="J10:L10"/>
    <mergeCell ref="F10:G10"/>
    <mergeCell ref="F3:H3"/>
    <mergeCell ref="F4:H4"/>
    <mergeCell ref="I4:J4"/>
    <mergeCell ref="F2:J2"/>
    <mergeCell ref="F5:H5"/>
    <mergeCell ref="I5:J5"/>
    <mergeCell ref="U260:V260"/>
    <mergeCell ref="M3:R5"/>
    <mergeCell ref="I3:J3"/>
    <mergeCell ref="W10:W11"/>
    <mergeCell ref="X10:Y10"/>
    <mergeCell ref="S10:V10"/>
    <mergeCell ref="M10:R10"/>
  </mergeCells>
  <conditionalFormatting sqref="W12:W259">
    <cfRule type="containsText" dxfId="479" priority="26" operator="containsText" text="Existing Value Not Required">
      <formula>NOT(ISERROR(SEARCH("Existing Value Not Required",W12)))</formula>
    </cfRule>
    <cfRule type="containsText" dxfId="478" priority="27" operator="containsText" text="Existing Value Required">
      <formula>NOT(ISERROR(SEARCH("Existing Value Required",W12)))</formula>
    </cfRule>
  </conditionalFormatting>
  <conditionalFormatting sqref="K12:K259">
    <cfRule type="containsText" dxfId="477" priority="25" operator="containsText" text="Spatial">
      <formula>NOT(ISERROR(SEARCH("Spatial",K12)))</formula>
    </cfRule>
  </conditionalFormatting>
  <conditionalFormatting sqref="L12:L259">
    <cfRule type="containsText" dxfId="476" priority="24" operator="containsText" text="Spatial">
      <formula>NOT(ISERROR(SEARCH("Spatial",L12)))</formula>
    </cfRule>
  </conditionalFormatting>
  <conditionalFormatting sqref="M6:Q7 M3">
    <cfRule type="containsText" dxfId="475" priority="23" operator="containsText" text="Note">
      <formula>NOT(ISERROR(SEARCH("Note",M3)))</formula>
    </cfRule>
  </conditionalFormatting>
  <conditionalFormatting sqref="P12:P259">
    <cfRule type="containsText" dxfId="474" priority="21" operator="containsText" text="Check">
      <formula>NOT(ISERROR(SEARCH("Check",P12)))</formula>
    </cfRule>
    <cfRule type="containsText" dxfId="473" priority="22" operator="containsText" text="Error">
      <formula>NOT(ISERROR(SEARCH("Error",P12)))</formula>
    </cfRule>
  </conditionalFormatting>
  <conditionalFormatting sqref="Q12:Q259">
    <cfRule type="containsText" dxfId="472" priority="20" operator="containsText" text="Check">
      <formula>NOT(ISERROR(SEARCH("Check",Q12)))</formula>
    </cfRule>
  </conditionalFormatting>
  <conditionalFormatting sqref="R12:R259">
    <cfRule type="containsText" dxfId="471" priority="19" operator="containsText" text="Check">
      <formula>NOT(ISERROR(SEARCH("Check",R12)))</formula>
    </cfRule>
  </conditionalFormatting>
  <conditionalFormatting sqref="T12:T259">
    <cfRule type="containsText" dxfId="470" priority="17" operator="containsText" text="No - Low Difficulty">
      <formula>NOT(ISERROR(SEARCH("No - Low Difficulty",T12)))</formula>
    </cfRule>
    <cfRule type="containsText" dxfId="469" priority="18" operator="containsText" text="Check">
      <formula>NOT(ISERROR(SEARCH("Check",T12)))</formula>
    </cfRule>
  </conditionalFormatting>
  <conditionalFormatting sqref="E261:J261">
    <cfRule type="containsText" dxfId="468" priority="16" operator="containsText" text="Check">
      <formula>NOT(ISERROR(SEARCH("Check",E261)))</formula>
    </cfRule>
  </conditionalFormatting>
  <conditionalFormatting sqref="Q12:Q259">
    <cfRule type="containsText" dxfId="467" priority="15" operator="containsText" text="30+">
      <formula>NOT(ISERROR(SEARCH("30+",Q12)))</formula>
    </cfRule>
  </conditionalFormatting>
  <conditionalFormatting sqref="I3">
    <cfRule type="containsText" dxfId="466" priority="13" operator="containsText" text="Error">
      <formula>NOT(ISERROR(SEARCH("Error",I3)))</formula>
    </cfRule>
    <cfRule type="containsText" dxfId="465" priority="14" operator="containsText" text="Check">
      <formula>NOT(ISERROR(SEARCH("Check",I3)))</formula>
    </cfRule>
  </conditionalFormatting>
  <conditionalFormatting sqref="I4">
    <cfRule type="containsText" dxfId="464" priority="3" operator="containsText" text="Error">
      <formula>NOT(ISERROR(SEARCH("Error",I4)))</formula>
    </cfRule>
    <cfRule type="containsText" dxfId="463" priority="4" operator="containsText" text="Check">
      <formula>NOT(ISERROR(SEARCH("Check",I4)))</formula>
    </cfRule>
  </conditionalFormatting>
  <conditionalFormatting sqref="I5">
    <cfRule type="containsText" dxfId="462" priority="7" operator="containsText" text="No">
      <formula>NOT(ISERROR(SEARCH("No",I5)))</formula>
    </cfRule>
    <cfRule type="containsText" dxfId="461" priority="8" operator="containsText" text="Yes">
      <formula>NOT(ISERROR(SEARCH("Yes",I5)))</formula>
    </cfRule>
  </conditionalFormatting>
  <conditionalFormatting sqref="I12:I259">
    <cfRule type="containsText" dxfId="460" priority="6" operator="containsText" text="Not possible">
      <formula>NOT(ISERROR(SEARCH("Not possible",I12)))</formula>
    </cfRule>
  </conditionalFormatting>
  <conditionalFormatting sqref="I4:J4">
    <cfRule type="cellIs" dxfId="459" priority="2" operator="equal">
      <formula>0</formula>
    </cfRule>
    <cfRule type="cellIs" dxfId="458" priority="5" operator="lessThan">
      <formula>0</formula>
    </cfRule>
  </conditionalFormatting>
  <conditionalFormatting sqref="I3:J5">
    <cfRule type="containsText" dxfId="457" priority="1" operator="containsText" text="N/A">
      <formula>NOT(ISERROR(SEARCH("N/A",I3)))</formula>
    </cfRule>
  </conditionalFormatting>
  <dataValidations count="1">
    <dataValidation type="list" allowBlank="1" showInputMessage="1" showErrorMessage="1" sqref="H12:H259" xr:uid="{00000000-0002-0000-1200-000000000000}">
      <formula1>INDIRECT(AG12)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6" operator="lessThan" id="{96391D0B-65D4-461C-B97E-32341A4ADCD7}">
            <xm:f>Start!$F$22</xm:f>
            <x14:dxf>
              <font>
                <color rgb="FF383745"/>
              </font>
              <fill>
                <patternFill>
                  <bgColor rgb="FFFFC000"/>
                </patternFill>
              </fill>
            </x14:dxf>
          </x14:cfRule>
          <x14:cfRule type="cellIs" priority="437"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1000000}">
          <x14:formula1>
            <xm:f>'G-6 Hedgerow Data'!$B$3:$B$15</xm:f>
          </x14:formula1>
          <xm:sqref>D12:D259</xm:sqref>
        </x14:dataValidation>
        <x14:dataValidation type="list" allowBlank="1" showInputMessage="1" showErrorMessage="1" xr:uid="{00000000-0002-0000-1200-000002000000}">
          <x14:formula1>
            <xm:f>'G-3 Multipliers'!$L$4:$L$6</xm:f>
          </x14:formula1>
          <xm:sqref>J12:J259</xm:sqref>
        </x14:dataValidation>
        <x14:dataValidation type="list" allowBlank="1" showInputMessage="1" showErrorMessage="1" xr:uid="{00000000-0002-0000-1200-000004000000}">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sheetPr>
  <dimension ref="A1:AT266"/>
  <sheetViews>
    <sheetView showGridLines="0" zoomScale="80" zoomScaleNormal="80" workbookViewId="0">
      <pane ySplit="11" topLeftCell="A12" activePane="bottomLeft" state="frozen"/>
      <selection pane="bottomLeft" activeCell="N6" sqref="N6"/>
    </sheetView>
  </sheetViews>
  <sheetFormatPr defaultColWidth="0" defaultRowHeight="0" customHeight="1" zeroHeight="1" x14ac:dyDescent="0.25"/>
  <cols>
    <col min="1" max="1" width="2.77734375" style="30" customWidth="1"/>
    <col min="2" max="2" width="10" style="30" customWidth="1"/>
    <col min="3" max="3" width="53.21875" style="30" customWidth="1"/>
    <col min="4" max="4" width="9" style="30" customWidth="1"/>
    <col min="5" max="5" width="18.77734375" style="30" customWidth="1"/>
    <col min="6" max="6" width="17.5546875" style="30" customWidth="1"/>
    <col min="7" max="7" width="18.21875" style="30" customWidth="1"/>
    <col min="8" max="11" width="19.21875" style="30" customWidth="1"/>
    <col min="12" max="12" width="33.44140625" style="30" customWidth="1"/>
    <col min="13" max="13" width="68.77734375" style="30" customWidth="1"/>
    <col min="14" max="15" width="34.21875" style="30" customWidth="1"/>
    <col min="16" max="16" width="10.21875" style="30" customWidth="1"/>
    <col min="17" max="17" width="17.5546875" style="30" customWidth="1"/>
    <col min="18" max="18" width="13.21875" style="30" customWidth="1"/>
    <col min="19" max="19" width="12.5546875" style="30" bestFit="1" customWidth="1"/>
    <col min="20" max="20" width="12.5546875" style="30" customWidth="1"/>
    <col min="21" max="21" width="41.77734375" style="30" customWidth="1"/>
    <col min="22" max="22" width="15.44140625" style="30" customWidth="1"/>
    <col min="23" max="23" width="12.21875" style="30" customWidth="1"/>
    <col min="24" max="24" width="18.77734375" style="30" customWidth="1"/>
    <col min="25" max="25" width="21.77734375" style="30" customWidth="1"/>
    <col min="26" max="26" width="22.77734375" style="30" customWidth="1"/>
    <col min="27" max="27" width="33.5546875" style="30" customWidth="1"/>
    <col min="28" max="28" width="18.77734375" style="30" customWidth="1"/>
    <col min="29" max="29" width="15.21875" style="30" customWidth="1"/>
    <col min="30" max="30" width="15.77734375" style="30" customWidth="1"/>
    <col min="31" max="31" width="24" style="30" customWidth="1"/>
    <col min="32" max="32" width="22.21875" style="30" customWidth="1"/>
    <col min="33" max="33" width="13.44140625" style="30" customWidth="1"/>
    <col min="34" max="34" width="12.77734375" style="30" customWidth="1"/>
    <col min="35" max="36" width="34.77734375" style="30" customWidth="1"/>
    <col min="37" max="37" width="13.5546875" style="30" customWidth="1"/>
    <col min="38" max="45" width="8.77734375" style="30" customWidth="1"/>
    <col min="46" max="46" width="15.77734375" style="30" hidden="1" customWidth="1"/>
    <col min="47" max="16384" width="8.77734375" style="30" hidden="1"/>
  </cols>
  <sheetData>
    <row r="1" spans="2:46" ht="15.75" customHeight="1" thickBot="1" x14ac:dyDescent="0.3"/>
    <row r="2" spans="2:46" ht="19.95" customHeight="1" thickBot="1" x14ac:dyDescent="0.3">
      <c r="B2" s="1567" t="str">
        <f>CONCATENATE("Project Name:", " ", Start!F12, "     ", "Map Reference:", " ", Start!K55)</f>
        <v xml:space="preserve">Project Name: Grove Farm Solar     Map Reference: </v>
      </c>
      <c r="C2" s="1568"/>
      <c r="D2" s="1569"/>
      <c r="M2" s="503"/>
      <c r="N2" s="1589" t="s">
        <v>380</v>
      </c>
      <c r="O2" s="1590"/>
      <c r="P2" s="1591"/>
      <c r="X2" s="1484" t="str">
        <f>IF(OR(COUNTIF($X$12:X257,"*30+*")&gt;0,COUNTIF($AB$12:AB257,"*30+*")&gt;0),"Note; Habitat selected has a time to target condition greater than 30 years. Non standard agreement may be required.","")</f>
        <v/>
      </c>
      <c r="Y2" s="1484"/>
      <c r="Z2" s="1484"/>
      <c r="AA2" s="1484"/>
      <c r="AB2" s="1484"/>
      <c r="AC2" s="1484"/>
    </row>
    <row r="3" spans="2:46" ht="21" customHeight="1" x14ac:dyDescent="0.25">
      <c r="B3" s="1521" t="str">
        <f ca="1">MID(CELL("filename",A1),FIND("]",CELL("filename",A1))+1,256)</f>
        <v>B-3 On-Site Hedge Enhancement</v>
      </c>
      <c r="C3" s="1522"/>
      <c r="D3" s="1523"/>
      <c r="N3" s="535" t="s">
        <v>263</v>
      </c>
      <c r="O3" s="1508">
        <f>'Headline Results'!H48</f>
        <v>16.669627715952004</v>
      </c>
      <c r="P3" s="1509"/>
      <c r="X3" s="1484"/>
      <c r="Y3" s="1484"/>
      <c r="Z3" s="1484"/>
      <c r="AA3" s="1484"/>
      <c r="AB3" s="1484"/>
      <c r="AC3" s="1484"/>
    </row>
    <row r="4" spans="2:46" ht="15.75" customHeight="1" thickBot="1" x14ac:dyDescent="0.35">
      <c r="B4" s="1524"/>
      <c r="C4" s="1525"/>
      <c r="D4" s="1526"/>
      <c r="N4" s="506" t="s">
        <v>265</v>
      </c>
      <c r="O4" s="1554">
        <f>'Headline Results'!H52</f>
        <v>1.0264549086177341</v>
      </c>
      <c r="P4" s="1555"/>
      <c r="V4" s="31"/>
      <c r="W4" s="158"/>
      <c r="X4" s="1484"/>
      <c r="Y4" s="1484"/>
      <c r="Z4" s="1484"/>
      <c r="AA4" s="1484"/>
      <c r="AB4" s="1484"/>
      <c r="AC4" s="1484"/>
      <c r="AD4" s="158"/>
      <c r="AE4" s="158"/>
      <c r="AF4" s="158"/>
      <c r="AG4" s="158"/>
      <c r="AH4" s="158"/>
      <c r="AI4" s="158"/>
      <c r="AJ4" s="158"/>
    </row>
    <row r="5" spans="2:46" ht="15.75" customHeight="1" thickBot="1" x14ac:dyDescent="0.3">
      <c r="N5" s="536" t="s">
        <v>267</v>
      </c>
      <c r="O5" s="1556" t="str" cm="1">
        <f t="array" ref="O5">IF(OR('Trading Summary Hedgerows'!G5:H8="No ▲"), "No - check trading summary ▲", "Yes ✓")</f>
        <v>Yes ✓</v>
      </c>
      <c r="P5" s="1557"/>
      <c r="Q5" s="509"/>
      <c r="X5" s="312"/>
      <c r="Y5" s="312"/>
      <c r="Z5" s="312"/>
      <c r="AA5" s="312"/>
      <c r="AB5" s="312"/>
    </row>
    <row r="6" spans="2:46" ht="15.75" customHeight="1" x14ac:dyDescent="0.25">
      <c r="X6" s="312"/>
      <c r="Y6" s="312"/>
      <c r="Z6" s="312"/>
      <c r="AA6" s="312"/>
      <c r="AB6" s="312"/>
    </row>
    <row r="7" spans="2:46" ht="13.8" x14ac:dyDescent="0.25">
      <c r="B7" s="102"/>
      <c r="C7" s="102"/>
      <c r="M7" s="101"/>
    </row>
    <row r="8" spans="2:46" ht="19.95" customHeight="1" thickBot="1" x14ac:dyDescent="0.3"/>
    <row r="9" spans="2:46" ht="14.4" thickBot="1" x14ac:dyDescent="0.3">
      <c r="C9" s="101"/>
      <c r="D9" s="101"/>
      <c r="E9" s="101"/>
      <c r="F9" s="101"/>
      <c r="G9" s="101"/>
      <c r="H9" s="101"/>
      <c r="I9" s="101"/>
      <c r="J9" s="101"/>
      <c r="K9" s="101"/>
      <c r="L9" s="101"/>
      <c r="M9" s="1573" t="s">
        <v>311</v>
      </c>
      <c r="N9" s="1575"/>
      <c r="O9" s="1575"/>
      <c r="P9" s="1575"/>
      <c r="Q9" s="1575"/>
      <c r="R9" s="1575"/>
      <c r="S9" s="1575"/>
      <c r="T9" s="1575"/>
      <c r="U9" s="1575"/>
      <c r="V9" s="1575"/>
      <c r="W9" s="1575"/>
      <c r="X9" s="1575"/>
      <c r="Y9" s="1575"/>
      <c r="Z9" s="1575"/>
      <c r="AA9" s="1575"/>
      <c r="AB9" s="1575"/>
      <c r="AC9" s="1575"/>
      <c r="AD9" s="1575"/>
      <c r="AE9" s="1575"/>
      <c r="AF9" s="1575"/>
      <c r="AG9" s="1576"/>
    </row>
    <row r="10" spans="2:46" ht="28.2" customHeight="1" thickBot="1" x14ac:dyDescent="0.3">
      <c r="B10" s="161"/>
      <c r="C10" s="1538" t="s">
        <v>393</v>
      </c>
      <c r="D10" s="1538"/>
      <c r="E10" s="1538"/>
      <c r="F10" s="1538"/>
      <c r="G10" s="1538"/>
      <c r="H10" s="1538"/>
      <c r="I10" s="1538"/>
      <c r="J10" s="1538"/>
      <c r="K10" s="1538"/>
      <c r="L10" s="1538"/>
      <c r="M10" s="1517" t="s">
        <v>394</v>
      </c>
      <c r="N10" s="1588" t="s">
        <v>334</v>
      </c>
      <c r="O10" s="1588"/>
      <c r="P10" s="1517" t="s">
        <v>34</v>
      </c>
      <c r="Q10" s="1310" t="s">
        <v>269</v>
      </c>
      <c r="R10" s="1308"/>
      <c r="S10" s="1552" t="s">
        <v>270</v>
      </c>
      <c r="T10" s="1308"/>
      <c r="U10" s="1519" t="s">
        <v>271</v>
      </c>
      <c r="V10" s="1519"/>
      <c r="W10" s="1519"/>
      <c r="X10" s="1561" t="s">
        <v>314</v>
      </c>
      <c r="Y10" s="1562"/>
      <c r="Z10" s="1562"/>
      <c r="AA10" s="1562"/>
      <c r="AB10" s="1562"/>
      <c r="AC10" s="1563"/>
      <c r="AD10" s="1542" t="s">
        <v>337</v>
      </c>
      <c r="AE10" s="1542"/>
      <c r="AF10" s="1542"/>
      <c r="AG10" s="1542"/>
      <c r="AH10" s="1542" t="s">
        <v>390</v>
      </c>
      <c r="AI10" s="1574" t="s">
        <v>276</v>
      </c>
      <c r="AJ10" s="1519"/>
    </row>
    <row r="11" spans="2:46" ht="61.5" customHeight="1" thickBot="1" x14ac:dyDescent="0.3">
      <c r="B11" s="140" t="s">
        <v>339</v>
      </c>
      <c r="C11" s="145" t="s">
        <v>340</v>
      </c>
      <c r="D11" s="145" t="s">
        <v>34</v>
      </c>
      <c r="E11" s="145" t="s">
        <v>342</v>
      </c>
      <c r="F11" s="145" t="s">
        <v>343</v>
      </c>
      <c r="G11" s="145" t="s">
        <v>344</v>
      </c>
      <c r="H11" s="145" t="s">
        <v>345</v>
      </c>
      <c r="I11" s="145" t="s">
        <v>346</v>
      </c>
      <c r="J11" s="145" t="s">
        <v>347</v>
      </c>
      <c r="K11" s="145" t="s">
        <v>348</v>
      </c>
      <c r="L11" s="144" t="s">
        <v>272</v>
      </c>
      <c r="M11" s="1517"/>
      <c r="N11" s="132" t="s">
        <v>395</v>
      </c>
      <c r="O11" s="752" t="s">
        <v>396</v>
      </c>
      <c r="P11" s="1517"/>
      <c r="Q11" s="126" t="s">
        <v>269</v>
      </c>
      <c r="R11" s="861" t="s">
        <v>286</v>
      </c>
      <c r="S11" s="865" t="s">
        <v>270</v>
      </c>
      <c r="T11" s="861" t="s">
        <v>286</v>
      </c>
      <c r="U11" s="132" t="s">
        <v>271</v>
      </c>
      <c r="V11" s="811" t="s">
        <v>271</v>
      </c>
      <c r="W11" s="752" t="s">
        <v>317</v>
      </c>
      <c r="X11" s="132" t="s">
        <v>392</v>
      </c>
      <c r="Y11" s="811" t="s">
        <v>377</v>
      </c>
      <c r="Z11" s="811" t="s">
        <v>354</v>
      </c>
      <c r="AA11" s="811" t="s">
        <v>321</v>
      </c>
      <c r="AB11" s="811" t="s">
        <v>322</v>
      </c>
      <c r="AC11" s="752" t="s">
        <v>397</v>
      </c>
      <c r="AD11" s="132" t="s">
        <v>398</v>
      </c>
      <c r="AE11" s="811" t="s">
        <v>1679</v>
      </c>
      <c r="AF11" s="811" t="s">
        <v>399</v>
      </c>
      <c r="AG11" s="752" t="s">
        <v>327</v>
      </c>
      <c r="AH11" s="1592"/>
      <c r="AI11" s="865" t="s">
        <v>295</v>
      </c>
      <c r="AJ11" s="861" t="s">
        <v>296</v>
      </c>
      <c r="AK11" s="48" t="s">
        <v>297</v>
      </c>
      <c r="AT11" s="101" t="s">
        <v>280</v>
      </c>
    </row>
    <row r="12" spans="2:46" ht="13.8" x14ac:dyDescent="0.25">
      <c r="B12" s="863" t="str">
        <f>'B-1 On-Site Hedge Baseline'!AK10</f>
        <v/>
      </c>
      <c r="C12" s="370" t="str">
        <f>IF(B12="","",IF(ISNA(VLOOKUP($B12,'B-1 On-Site Hedge Baseline'!$B$1:$L$257,3,FALSE)),"",(VLOOKUP($B12,'B-1 On-Site Hedge Baseline'!$B$1:$L$257,3,FALSE))))</f>
        <v/>
      </c>
      <c r="D12" s="370" t="str">
        <f>IF(B12="","",IF(ISNA(VLOOKUP($B12,'B-1 On-Site Hedge Baseline'!$B$1:$L$257,4,FALSE)),"",(VLOOKUP($B12,'B-1 On-Site Hedge Baseline'!$B$1:$L$257,4,FALSE))))</f>
        <v/>
      </c>
      <c r="E12" s="370" t="str">
        <f>IF(B12="","",IF(ISNA(VLOOKUP($B12,'B-1 On-Site Hedge Baseline'!$B$1:$L$257,5,FALSE)),"",(VLOOKUP($B12,'B-1 On-Site Hedge Baseline'!$B$1:$L$257,5,FALSE))))</f>
        <v/>
      </c>
      <c r="F12" s="370" t="str">
        <f>IF(B12="","",IF(ISNA(VLOOKUP($B12,'B-1 On-Site Hedge Baseline'!$B$1:$L$257,6,FALSE)),"",(VLOOKUP($B12,'B-1 On-Site Hedge Baseline'!$B$1:$L$257,6,FALSE))))</f>
        <v/>
      </c>
      <c r="G12" s="370" t="str">
        <f>IF(B12="","",IF(ISNA(VLOOKUP($B12,'B-1 On-Site Hedge Baseline'!$B$1:$L$257,7,FALSE)),"",(VLOOKUP($B12,'B-1 On-Site Hedge Baseline'!$B$1:$L$257,7,FALSE))))</f>
        <v/>
      </c>
      <c r="H12" s="370" t="str">
        <f>IF(B12="","",IF(ISNA(VLOOKUP($B12,'B-1 On-Site Hedge Baseline'!$B$1:$L$257,8,FALSE)),"",(VLOOKUP($B12,'B-1 On-Site Hedge Baseline'!$B$1:$L$257,8,FALSE))))</f>
        <v/>
      </c>
      <c r="I12" s="370" t="str">
        <f>IF(B12="","",IF(ISNA(VLOOKUP($B12,'B-1 On-Site Hedge Baseline'!$B$1:$L$257,10,FALSE)),"",(VLOOKUP($B12,'B-1 On-Site Hedge Baseline'!$B$1:$L$257,10,FALSE))))</f>
        <v/>
      </c>
      <c r="J12" s="370" t="str">
        <f>IF(B12="","",IF(ISNA(VLOOKUP($B12,'B-1 On-Site Hedge Baseline'!$B$1:$L$257,11,FALSE)),"",(VLOOKUP($B12,'B-1 On-Site Hedge Baseline'!$B$1:$L$257,11,FALSE))))</f>
        <v/>
      </c>
      <c r="K12" s="370" t="str">
        <f>IF(B12="","",IF(ISNA(VLOOKUP($B12,'B-1 On-Site Hedge Baseline'!$B$1:$U$257,13,FALSE)),"",(VLOOKUP($B12,'B-1 On-Site Hedge Baseline'!$B$1:$U$257,13,FALSE))))</f>
        <v/>
      </c>
      <c r="L12" s="363" t="str">
        <f>IF(B12="","",IF(ISNA(VLOOKUP($B12,'B-1 On-Site Hedge Baseline'!$B$1:$U$257,12,FALSE)),"",(VLOOKUP($B12,'B-1 On-Site Hedge Baseline'!$B$1:$U$257,12,FALSE))))</f>
        <v/>
      </c>
      <c r="M12" s="864" t="str">
        <f t="shared" ref="M12:M77" si="0">IF(B12="","",C12)</f>
        <v/>
      </c>
      <c r="N12" s="362" t="str">
        <f>IFERROR(IF(B12="","",INDEX('G-6 Hedgerow Data'!$AN$3:$AZ$15,MATCH(C12,'G-6 Hedgerow Data'!$AM$3:$AM$15,0),MATCH(M12,'G-6 Hedgerow Data'!$AN$2:$AZ$2,0))),"")</f>
        <v/>
      </c>
      <c r="O12" s="363" t="str">
        <f>IFERROR(IF(B12="","",IF(AND(LEFT(C12,55)&lt;&gt;LEFT(M12,55),N12="High - High"),"Error - Not like for like ▲",IF(H12&gt;T12,"Error - Can not reduce condition ▲",IF(AND(F12=R12,H12=T12),"Error - No enhancement ▲",IF(AND(C12&lt;&gt;M12,F12&lt;R12),"Lower Distinctiveness Habitat"&amp;" - "&amp;S12,G12&amp;" - "&amp;S12))))),"")</f>
        <v/>
      </c>
      <c r="P12" s="417" t="str">
        <f>IF(B12="","",VLOOKUP(B12,'B-1 On-Site Hedge Baseline'!$B$10:T257,16,FALSE))</f>
        <v/>
      </c>
      <c r="Q12" s="362" t="str">
        <f>IF(M12="","",VLOOKUP(M12,'G-6 Hedgerow Data'!$B$2:$AG$15,2,FALSE))</f>
        <v/>
      </c>
      <c r="R12" s="363" t="str">
        <f>IF(M12="","",VLOOKUP(M12,'G-6 Hedgerow Data'!$B$2:$AG$15,3,FALSE))</f>
        <v/>
      </c>
      <c r="S12" s="114"/>
      <c r="T12" s="401" t="str">
        <f>IFERROR(VLOOKUP(S12,'G-1 All Habitats'!$Z$2:$AA$9,2,FALSE),"")</f>
        <v/>
      </c>
      <c r="U12" s="114"/>
      <c r="V12" s="370" t="str">
        <f>IF(U12="","",IF(VLOOKUP(U12,'G-3 Multipliers'!$L$3:$N$6,2,FALSE)=0,"Spatial Data Missing ⚠",VLOOKUP(U12,'G-3 Multipliers'!$L$3:$N$6,2,FALSE)))</f>
        <v/>
      </c>
      <c r="W12" s="363"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 ⚠",IF(X12+Z12&gt;30,"30+ 'C-1 Site River Baseline'!",IF(AA12="Error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(IF(AND(AE12="Standard difficulty applied",X12&gt;Y12),AD12,IF(AND(AE12="Low Difficulty - only applicable if all habitat created before losses ⚠",Y12&gt;=X12),"Low",AD12)))</f>
        <v/>
      </c>
      <c r="AG12" s="363" t="str">
        <f>IFERROR(IF(O12="","",VLOOKUP(AD12,'G-3 Multipliers'!$P$3:$Q$6,2,FALSE)),"")</f>
        <v/>
      </c>
      <c r="AH12" s="376" t="str">
        <f>IFERROR(IF(OR(M12="",S12="",U12=""),"",(((((P12*R12*T12)-(P12*F12*H12))*(AG12*AC12))+(P12*F12*H12))*(W12))),"")</f>
        <v/>
      </c>
      <c r="AI12" s="317"/>
      <c r="AJ12" s="195"/>
      <c r="AK12" s="118"/>
      <c r="AT12" s="30" t="str">
        <f>IFERROR(INDEX('G-6 Hedgerow Data'!$BJ$3:$BJ$15,MATCH(M12,'G-6 Hedgerow Data'!$B$3:$B$15,0)),"")</f>
        <v/>
      </c>
    </row>
    <row r="13" spans="2:46" ht="13.8" x14ac:dyDescent="0.25">
      <c r="B13" s="392" t="str">
        <f>'B-1 On-Site Hedge Baseline'!AK11</f>
        <v/>
      </c>
      <c r="C13" s="382" t="str">
        <f>IF(B13="","",IF(ISNA(VLOOKUP($B13,'B-1 On-Site Hedge Baseline'!$B$1:$L$257,3,FALSE)),"",(VLOOKUP($B13,'B-1 On-Site Hedge Baseline'!$B$1:$L$257,3,FALSE))))</f>
        <v/>
      </c>
      <c r="D13" s="382" t="str">
        <f>IF(B13="","",IF(ISNA(VLOOKUP($B13,'B-1 On-Site Hedge Baseline'!$B$1:$L$257,4,FALSE)),"",(VLOOKUP($B13,'B-1 On-Site Hedge Baseline'!$B$1:$L$257,4,FALSE))))</f>
        <v/>
      </c>
      <c r="E13" s="382" t="str">
        <f>IF(B13="","",IF(ISNA(VLOOKUP($B13,'B-1 On-Site Hedge Baseline'!$B$1:$L$257,5,FALSE)),"",(VLOOKUP($B13,'B-1 On-Site Hedge Baseline'!$B$1:$L$257,5,FALSE))))</f>
        <v/>
      </c>
      <c r="F13" s="382" t="str">
        <f>IF(B13="","",IF(ISNA(VLOOKUP($B13,'B-1 On-Site Hedge Baseline'!$B$1:$L$257,6,FALSE)),"",(VLOOKUP($B13,'B-1 On-Site Hedge Baseline'!$B$1:$L$257,6,FALSE))))</f>
        <v/>
      </c>
      <c r="G13" s="382" t="str">
        <f>IF(B13="","",IF(ISNA(VLOOKUP($B13,'B-1 On-Site Hedge Baseline'!$B$1:$L$257,7,FALSE)),"",(VLOOKUP($B13,'B-1 On-Site Hedge Baseline'!$B$1:$L$257,7,FALSE))))</f>
        <v/>
      </c>
      <c r="H13" s="382" t="str">
        <f>IF(B13="","",IF(ISNA(VLOOKUP($B13,'B-1 On-Site Hedge Baseline'!$B$1:$L$257,8,FALSE)),"",(VLOOKUP($B13,'B-1 On-Site Hedge Baseline'!$B$1:$L$257,8,FALSE))))</f>
        <v/>
      </c>
      <c r="I13" s="382" t="str">
        <f>IF(B13="","",IF(ISNA(VLOOKUP($B13,'B-1 On-Site Hedge Baseline'!$B$1:$L$257,10,FALSE)),"",(VLOOKUP($B13,'B-1 On-Site Hedge Baseline'!$B$1:$L$257,10,FALSE))))</f>
        <v/>
      </c>
      <c r="J13" s="382" t="str">
        <f>IF(B13="","",IF(ISNA(VLOOKUP($B13,'B-1 On-Site Hedge Baseline'!$B$1:$L$257,11,FALSE)),"",(VLOOKUP($B13,'B-1 On-Site Hedge Baseline'!$B$1:$L$257,11,FALSE))))</f>
        <v/>
      </c>
      <c r="K13" s="382" t="str">
        <f>IF(B13="","",IF(ISNA(VLOOKUP($B13,'B-1 On-Site Hedge Baseline'!$B$1:$U$257,13,FALSE)),"",(VLOOKUP($B13,'B-1 On-Site Hedge Baseline'!$B$1:$U$257,13,FALSE))))</f>
        <v/>
      </c>
      <c r="L13" s="386" t="str">
        <f>IF(B13="","",IF(ISNA(VLOOKUP($B13,'B-1 On-Site Hedge Baseline'!$B$1:$U$257,12,FALSE)),"",(VLOOKUP($B13,'B-1 On-Site Hedge Baseline'!$B$1:$U$257,12,FALSE))))</f>
        <v/>
      </c>
      <c r="M13" s="315" t="str">
        <f t="shared" si="0"/>
        <v/>
      </c>
      <c r="N13" s="362" t="str">
        <f>IFERROR(IF(B13="","",INDEX('G-6 Hedgerow Data'!$AN$3:$AZ$15,MATCH(C13,'G-6 Hedgerow Data'!$AM$3:$AM$15,0),MATCH(M13,'G-6 Hedgerow Data'!$AN$2:$AZ$2,0))),"")</f>
        <v/>
      </c>
      <c r="O13" s="363" t="str">
        <f t="shared" ref="O13:O76" si="2">IFERROR(IF(B13="","",IF(AND(LEFT(C13,55)&lt;&gt;LEFT(M13,55),N13="High - High"),"Error - Not like for like ▲",IF(H13&gt;T13,"Error - Can not reduce condition ▲",IF(AND(F13=R13,H13=T13),"Error - No enhancement ▲",IF(AND(C13&lt;&gt;M13,F13&lt;R13),"Lower Distinctiveness Habitat"&amp;" - "&amp;S13,G13&amp;" - "&amp;S13))))),"")</f>
        <v/>
      </c>
      <c r="P13" s="417" t="str">
        <f>IF(B13="","",VLOOKUP(B13,'B-1 On-Site Hedge Baseline'!$B$10:T258,16,FALSE))</f>
        <v/>
      </c>
      <c r="Q13" s="362" t="str">
        <f>IF(M13="","",VLOOKUP(M13,'G-6 Hedgerow Data'!$B$2:$AG$15,2,FALSE))</f>
        <v/>
      </c>
      <c r="R13" s="363" t="str">
        <f>IF(M13="","",VLOOKUP(M13,'G-6 Hedgerow Data'!$B$2:$AG$15,3,FALSE))</f>
        <v/>
      </c>
      <c r="S13" s="114"/>
      <c r="T13" s="401" t="str">
        <f>IFERROR(VLOOKUP(S13,'G-1 All Habitats'!$Z$2:$AA$9,2,FALSE),"")</f>
        <v/>
      </c>
      <c r="U13" s="114"/>
      <c r="V13" s="382" t="str">
        <f>IF(U13="","",IF(VLOOKUP(U13,'G-3 Multipliers'!$L$3:$N$6,2,FALSE)=0,"Spatial Data Missing ⚠",VLOOKUP(U13,'G-3 Multipliers'!$L$3:$N$6,2,FALSE)))</f>
        <v/>
      </c>
      <c r="W13" s="386"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 ⚠",IF(X13+Z13&gt;30,"30+ 'C-1 Site River Baseline'!",IF(AA13="Error -both advance and delayed habitat creation ▲","Check Data ⚠",IF(X13+Z13-Y13&gt;0,X13+Z13-Y13,IF(X13-Y13&lt;=0,0,))))))))</f>
        <v/>
      </c>
      <c r="AC13" s="384" t="str">
        <f t="shared" si="1"/>
        <v/>
      </c>
      <c r="AD13" s="398" t="str">
        <f>IF(M13="","",VLOOKUP(M13,'G-6 Hedgerow Data'!$B$3:$AG$15,31,FALSE))</f>
        <v/>
      </c>
      <c r="AE13" s="370" t="str">
        <f t="shared" ref="AE13:AE76" si="5">IF(M13="","",IF(OR(LEFT(AA13,5)="Error ▲",AA13="Check Data ⚠"),"Check Data ⚠",IF(X13="","",IF($AA13="Check details - Is there evidence that habitat has reached target condition? ⚠","Low Difficulty - only applicable if all habitat created before losses ⚠","Standard difficulty applied"))))</f>
        <v/>
      </c>
      <c r="AF13" s="370" t="str">
        <f t="shared" ref="AF13:AF76" si="6">(IF(AND(AE13="Standard difficulty applied",X13&gt;Y13),AD13,IF(AND(AE13="Low Difficulty - only applicable if all habitat created before losses ⚠",Y13&gt;=X13),"Low",AD13)))</f>
        <v/>
      </c>
      <c r="AG13" s="386" t="str">
        <f>IFERROR(IF(O13="","",VLOOKUP(AD13,'G-3 Multipliers'!$P$3:$Q$6,2,FALSE)),"")</f>
        <v/>
      </c>
      <c r="AH13" s="376" t="str">
        <f t="shared" ref="AH13:AH75" si="7">IFERROR(IF(OR(M13="",S13="",U13=""),"",(((((P13*R13*T13)-(P13*F13*H13))*(AG13*AC13))+(P13*F13*H13))*(W13))),"")</f>
        <v/>
      </c>
      <c r="AI13" s="317"/>
      <c r="AJ13" s="195"/>
      <c r="AK13" s="120"/>
      <c r="AT13" s="30" t="str">
        <f>IFERROR(INDEX('G-6 Hedgerow Data'!$BJ$3:$BJ$15,MATCH(M13,'G-6 Hedgerow Data'!$B$3:$B$15,0)),"")</f>
        <v/>
      </c>
    </row>
    <row r="14" spans="2:46" ht="13.8" x14ac:dyDescent="0.25">
      <c r="B14" s="392" t="str">
        <f>'B-1 On-Site Hedge Baseline'!AK12</f>
        <v/>
      </c>
      <c r="C14" s="382" t="str">
        <f>IF(B14="","",IF(ISNA(VLOOKUP($B14,'B-1 On-Site Hedge Baseline'!$B$1:$L$257,3,FALSE)),"",(VLOOKUP($B14,'B-1 On-Site Hedge Baseline'!$B$1:$L$257,3,FALSE))))</f>
        <v/>
      </c>
      <c r="D14" s="382" t="str">
        <f>IF(B14="","",IF(ISNA(VLOOKUP($B14,'B-1 On-Site Hedge Baseline'!$B$1:$L$257,4,FALSE)),"",(VLOOKUP($B14,'B-1 On-Site Hedge Baseline'!$B$1:$L$257,4,FALSE))))</f>
        <v/>
      </c>
      <c r="E14" s="382" t="str">
        <f>IF(B14="","",IF(ISNA(VLOOKUP($B14,'B-1 On-Site Hedge Baseline'!$B$1:$L$257,5,FALSE)),"",(VLOOKUP($B14,'B-1 On-Site Hedge Baseline'!$B$1:$L$257,5,FALSE))))</f>
        <v/>
      </c>
      <c r="F14" s="382" t="str">
        <f>IF(B14="","",IF(ISNA(VLOOKUP($B14,'B-1 On-Site Hedge Baseline'!$B$1:$L$257,6,FALSE)),"",(VLOOKUP($B14,'B-1 On-Site Hedge Baseline'!$B$1:$L$257,6,FALSE))))</f>
        <v/>
      </c>
      <c r="G14" s="382" t="str">
        <f>IF(B14="","",IF(ISNA(VLOOKUP($B14,'B-1 On-Site Hedge Baseline'!$B$1:$L$257,7,FALSE)),"",(VLOOKUP($B14,'B-1 On-Site Hedge Baseline'!$B$1:$L$257,7,FALSE))))</f>
        <v/>
      </c>
      <c r="H14" s="382" t="str">
        <f>IF(B14="","",IF(ISNA(VLOOKUP($B14,'B-1 On-Site Hedge Baseline'!$B$1:$L$257,8,FALSE)),"",(VLOOKUP($B14,'B-1 On-Site Hedge Baseline'!$B$1:$L$257,8,FALSE))))</f>
        <v/>
      </c>
      <c r="I14" s="382" t="str">
        <f>IF(B14="","",IF(ISNA(VLOOKUP($B14,'B-1 On-Site Hedge Baseline'!$B$1:$L$257,10,FALSE)),"",(VLOOKUP($B14,'B-1 On-Site Hedge Baseline'!$B$1:$L$257,10,FALSE))))</f>
        <v/>
      </c>
      <c r="J14" s="382" t="str">
        <f>IF(B14="","",IF(ISNA(VLOOKUP($B14,'B-1 On-Site Hedge Baseline'!$B$1:$L$257,11,FALSE)),"",(VLOOKUP($B14,'B-1 On-Site Hedge Baseline'!$B$1:$L$257,11,FALSE))))</f>
        <v/>
      </c>
      <c r="K14" s="382" t="str">
        <f>IF(B14="","",IF(ISNA(VLOOKUP($B14,'B-1 On-Site Hedge Baseline'!$B$1:$U$257,13,FALSE)),"",(VLOOKUP($B14,'B-1 On-Site Hedge Baseline'!$B$1:$U$257,13,FALSE))))</f>
        <v/>
      </c>
      <c r="L14" s="386" t="str">
        <f>IF(B14="","",IF(ISNA(VLOOKUP($B14,'B-1 On-Site Hedge Baseline'!$B$1:$U$257,12,FALSE)),"",(VLOOKUP($B14,'B-1 On-Site Hedge Baseline'!$B$1:$U$257,12,FALSE))))</f>
        <v/>
      </c>
      <c r="M14" s="315" t="str">
        <f t="shared" si="0"/>
        <v/>
      </c>
      <c r="N14" s="362" t="str">
        <f>IFERROR(IF(B14="","",INDEX('G-6 Hedgerow Data'!$AN$3:$AZ$15,MATCH(C14,'G-6 Hedgerow Data'!$AM$3:$AM$15,0),MATCH(M14,'G-6 Hedgerow Data'!$AN$2:$AZ$2,0))),"")</f>
        <v/>
      </c>
      <c r="O14" s="363" t="str">
        <f t="shared" si="2"/>
        <v/>
      </c>
      <c r="P14" s="417" t="str">
        <f>IF(B14="","",VLOOKUP(B14,'B-1 On-Site Hedge Baseline'!$B$10:T259,16,FALSE))</f>
        <v/>
      </c>
      <c r="Q14" s="362" t="str">
        <f>IF(M14="","",VLOOKUP(M14,'G-6 Hedgerow Data'!$B$2:$AG$15,2,FALSE))</f>
        <v/>
      </c>
      <c r="R14" s="363" t="str">
        <f>IF(M14="","",VLOOKUP(M14,'G-6 Hedgerow Data'!$B$2:$AG$15,3,FALSE))</f>
        <v/>
      </c>
      <c r="S14" s="114"/>
      <c r="T14" s="401" t="str">
        <f>IFERROR(VLOOKUP(S14,'G-1 All Habitats'!$Z$2:$AA$9,2,FALSE),"")</f>
        <v/>
      </c>
      <c r="U14" s="114"/>
      <c r="V14" s="382" t="str">
        <f>IF(U14="","",IF(VLOOKUP(U14,'G-3 Multipliers'!$L$3:$N$6,2,FALSE)=0,"Spatial Data Missing ⚠",VLOOKUP(U14,'G-3 Multipliers'!$L$3:$N$6,2,FALSE)))</f>
        <v/>
      </c>
      <c r="W14" s="386"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70" t="str">
        <f t="shared" si="5"/>
        <v/>
      </c>
      <c r="AF14" s="370" t="str">
        <f t="shared" si="6"/>
        <v/>
      </c>
      <c r="AG14" s="386" t="str">
        <f>IFERROR(IF(O14="","",VLOOKUP(AD14,'G-3 Multipliers'!$P$3:$Q$6,2,FALSE)),"")</f>
        <v/>
      </c>
      <c r="AH14" s="376" t="str">
        <f t="shared" si="7"/>
        <v/>
      </c>
      <c r="AI14" s="317"/>
      <c r="AJ14" s="195"/>
      <c r="AK14" s="120"/>
      <c r="AT14" s="30" t="str">
        <f>IFERROR(INDEX('G-6 Hedgerow Data'!$BJ$3:$BJ$15,MATCH(M14,'G-6 Hedgerow Data'!$B$3:$B$15,0)),"")</f>
        <v/>
      </c>
    </row>
    <row r="15" spans="2:46" ht="13.8" x14ac:dyDescent="0.25">
      <c r="B15" s="392" t="str">
        <f>'B-1 On-Site Hedge Baseline'!AK13</f>
        <v/>
      </c>
      <c r="C15" s="382" t="str">
        <f>IF(B15="","",IF(ISNA(VLOOKUP($B15,'B-1 On-Site Hedge Baseline'!$B$1:$L$257,3,FALSE)),"",(VLOOKUP($B15,'B-1 On-Site Hedge Baseline'!$B$1:$L$257,3,FALSE))))</f>
        <v/>
      </c>
      <c r="D15" s="382" t="str">
        <f>IF(B15="","",IF(ISNA(VLOOKUP($B15,'B-1 On-Site Hedge Baseline'!$B$1:$L$257,4,FALSE)),"",(VLOOKUP($B15,'B-1 On-Site Hedge Baseline'!$B$1:$L$257,4,FALSE))))</f>
        <v/>
      </c>
      <c r="E15" s="382" t="str">
        <f>IF(B15="","",IF(ISNA(VLOOKUP($B15,'B-1 On-Site Hedge Baseline'!$B$1:$L$257,5,FALSE)),"",(VLOOKUP($B15,'B-1 On-Site Hedge Baseline'!$B$1:$L$257,5,FALSE))))</f>
        <v/>
      </c>
      <c r="F15" s="382" t="str">
        <f>IF(B15="","",IF(ISNA(VLOOKUP($B15,'B-1 On-Site Hedge Baseline'!$B$1:$L$257,6,FALSE)),"",(VLOOKUP($B15,'B-1 On-Site Hedge Baseline'!$B$1:$L$257,6,FALSE))))</f>
        <v/>
      </c>
      <c r="G15" s="382" t="str">
        <f>IF(B15="","",IF(ISNA(VLOOKUP($B15,'B-1 On-Site Hedge Baseline'!$B$1:$L$257,7,FALSE)),"",(VLOOKUP($B15,'B-1 On-Site Hedge Baseline'!$B$1:$L$257,7,FALSE))))</f>
        <v/>
      </c>
      <c r="H15" s="382" t="str">
        <f>IF(B15="","",IF(ISNA(VLOOKUP($B15,'B-1 On-Site Hedge Baseline'!$B$1:$L$257,8,FALSE)),"",(VLOOKUP($B15,'B-1 On-Site Hedge Baseline'!$B$1:$L$257,8,FALSE))))</f>
        <v/>
      </c>
      <c r="I15" s="382" t="str">
        <f>IF(B15="","",IF(ISNA(VLOOKUP($B15,'B-1 On-Site Hedge Baseline'!$B$1:$L$257,10,FALSE)),"",(VLOOKUP($B15,'B-1 On-Site Hedge Baseline'!$B$1:$L$257,10,FALSE))))</f>
        <v/>
      </c>
      <c r="J15" s="382" t="str">
        <f>IF(B15="","",IF(ISNA(VLOOKUP($B15,'B-1 On-Site Hedge Baseline'!$B$1:$L$257,11,FALSE)),"",(VLOOKUP($B15,'B-1 On-Site Hedge Baseline'!$B$1:$L$257,11,FALSE))))</f>
        <v/>
      </c>
      <c r="K15" s="382" t="str">
        <f>IF(B15="","",IF(ISNA(VLOOKUP($B15,'B-1 On-Site Hedge Baseline'!$B$1:$U$257,13,FALSE)),"",(VLOOKUP($B15,'B-1 On-Site Hedge Baseline'!$B$1:$U$257,13,FALSE))))</f>
        <v/>
      </c>
      <c r="L15" s="386" t="str">
        <f>IF(B15="","",IF(ISNA(VLOOKUP($B15,'B-1 On-Site Hedge Baseline'!$B$1:$U$257,12,FALSE)),"",(VLOOKUP($B15,'B-1 On-Site Hedge Baseline'!$B$1:$U$257,12,FALSE))))</f>
        <v/>
      </c>
      <c r="M15" s="315" t="str">
        <f t="shared" si="0"/>
        <v/>
      </c>
      <c r="N15" s="362" t="str">
        <f>IFERROR(IF(B15="","",INDEX('G-6 Hedgerow Data'!$AN$3:$AZ$15,MATCH(C15,'G-6 Hedgerow Data'!$AM$3:$AM$15,0),MATCH(M15,'G-6 Hedgerow Data'!$AN$2:$AZ$2,0))),"")</f>
        <v/>
      </c>
      <c r="O15" s="363" t="str">
        <f t="shared" si="2"/>
        <v/>
      </c>
      <c r="P15" s="417" t="str">
        <f>IF(B15="","",VLOOKUP(B15,'B-1 On-Site Hedge Baseline'!$B$10:T260,16,FALSE))</f>
        <v/>
      </c>
      <c r="Q15" s="362" t="str">
        <f>IF(M15="","",VLOOKUP(M15,'G-6 Hedgerow Data'!$B$2:$AG$15,2,FALSE))</f>
        <v/>
      </c>
      <c r="R15" s="363" t="str">
        <f>IF(M15="","",VLOOKUP(M15,'G-6 Hedgerow Data'!$B$2:$AG$15,3,FALSE))</f>
        <v/>
      </c>
      <c r="S15" s="114"/>
      <c r="T15" s="401" t="str">
        <f>IFERROR(VLOOKUP(S15,'G-1 All Habitats'!$Z$2:$AA$9,2,FALSE),"")</f>
        <v/>
      </c>
      <c r="U15" s="114"/>
      <c r="V15" s="382" t="str">
        <f>IF(U15="","",IF(VLOOKUP(U15,'G-3 Multipliers'!$L$3:$N$6,2,FALSE)=0,"Spatial Data Missing ⚠",VLOOKUP(U15,'G-3 Multipliers'!$L$3:$N$6,2,FALSE)))</f>
        <v/>
      </c>
      <c r="W15" s="386"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70" t="str">
        <f t="shared" si="5"/>
        <v/>
      </c>
      <c r="AF15" s="370" t="str">
        <f t="shared" si="6"/>
        <v/>
      </c>
      <c r="AG15" s="386" t="str">
        <f>IFERROR(IF(O15="","",VLOOKUP(AD15,'G-3 Multipliers'!$P$3:$Q$6,2,FALSE)),"")</f>
        <v/>
      </c>
      <c r="AH15" s="376" t="str">
        <f t="shared" si="7"/>
        <v/>
      </c>
      <c r="AI15" s="317"/>
      <c r="AJ15" s="195"/>
      <c r="AK15" s="120"/>
      <c r="AT15" s="30" t="str">
        <f>IFERROR(INDEX('G-6 Hedgerow Data'!$BJ$3:$BJ$15,MATCH(M15,'G-6 Hedgerow Data'!$B$3:$B$15,0)),"")</f>
        <v/>
      </c>
    </row>
    <row r="16" spans="2:46" ht="13.8" x14ac:dyDescent="0.25">
      <c r="B16" s="392" t="str">
        <f>'B-1 On-Site Hedge Baseline'!AK14</f>
        <v/>
      </c>
      <c r="C16" s="382" t="str">
        <f>IF(B16="","",IF(ISNA(VLOOKUP($B16,'B-1 On-Site Hedge Baseline'!$B$1:$L$257,3,FALSE)),"",(VLOOKUP($B16,'B-1 On-Site Hedge Baseline'!$B$1:$L$257,3,FALSE))))</f>
        <v/>
      </c>
      <c r="D16" s="382" t="str">
        <f>IF(B16="","",IF(ISNA(VLOOKUP($B16,'B-1 On-Site Hedge Baseline'!$B$1:$L$257,4,FALSE)),"",(VLOOKUP($B16,'B-1 On-Site Hedge Baseline'!$B$1:$L$257,4,FALSE))))</f>
        <v/>
      </c>
      <c r="E16" s="382" t="str">
        <f>IF(B16="","",IF(ISNA(VLOOKUP($B16,'B-1 On-Site Hedge Baseline'!$B$1:$L$257,5,FALSE)),"",(VLOOKUP($B16,'B-1 On-Site Hedge Baseline'!$B$1:$L$257,5,FALSE))))</f>
        <v/>
      </c>
      <c r="F16" s="382" t="str">
        <f>IF(B16="","",IF(ISNA(VLOOKUP($B16,'B-1 On-Site Hedge Baseline'!$B$1:$L$257,6,FALSE)),"",(VLOOKUP($B16,'B-1 On-Site Hedge Baseline'!$B$1:$L$257,6,FALSE))))</f>
        <v/>
      </c>
      <c r="G16" s="382" t="str">
        <f>IF(B16="","",IF(ISNA(VLOOKUP($B16,'B-1 On-Site Hedge Baseline'!$B$1:$L$257,7,FALSE)),"",(VLOOKUP($B16,'B-1 On-Site Hedge Baseline'!$B$1:$L$257,7,FALSE))))</f>
        <v/>
      </c>
      <c r="H16" s="382" t="str">
        <f>IF(B16="","",IF(ISNA(VLOOKUP($B16,'B-1 On-Site Hedge Baseline'!$B$1:$L$257,8,FALSE)),"",(VLOOKUP($B16,'B-1 On-Site Hedge Baseline'!$B$1:$L$257,8,FALSE))))</f>
        <v/>
      </c>
      <c r="I16" s="382" t="str">
        <f>IF(B16="","",IF(ISNA(VLOOKUP($B16,'B-1 On-Site Hedge Baseline'!$B$1:$L$257,10,FALSE)),"",(VLOOKUP($B16,'B-1 On-Site Hedge Baseline'!$B$1:$L$257,10,FALSE))))</f>
        <v/>
      </c>
      <c r="J16" s="382" t="str">
        <f>IF(B16="","",IF(ISNA(VLOOKUP($B16,'B-1 On-Site Hedge Baseline'!$B$1:$L$257,11,FALSE)),"",(VLOOKUP($B16,'B-1 On-Site Hedge Baseline'!$B$1:$L$257,11,FALSE))))</f>
        <v/>
      </c>
      <c r="K16" s="382" t="str">
        <f>IF(B16="","",IF(ISNA(VLOOKUP($B16,'B-1 On-Site Hedge Baseline'!$B$1:$U$257,13,FALSE)),"",(VLOOKUP($B16,'B-1 On-Site Hedge Baseline'!$B$1:$U$257,13,FALSE))))</f>
        <v/>
      </c>
      <c r="L16" s="386" t="str">
        <f>IF(B16="","",IF(ISNA(VLOOKUP($B16,'B-1 On-Site Hedge Baseline'!$B$1:$U$257,12,FALSE)),"",(VLOOKUP($B16,'B-1 On-Site Hedge Baseline'!$B$1:$U$257,12,FALSE))))</f>
        <v/>
      </c>
      <c r="M16" s="315" t="str">
        <f t="shared" si="0"/>
        <v/>
      </c>
      <c r="N16" s="362" t="str">
        <f>IFERROR(IF(B16="","",INDEX('G-6 Hedgerow Data'!$AN$3:$AZ$15,MATCH(C16,'G-6 Hedgerow Data'!$AM$3:$AM$15,0),MATCH(M16,'G-6 Hedgerow Data'!$AN$2:$AZ$2,0))),"")</f>
        <v/>
      </c>
      <c r="O16" s="363" t="str">
        <f t="shared" si="2"/>
        <v/>
      </c>
      <c r="P16" s="417" t="str">
        <f>IF(B16="","",VLOOKUP(B16,'B-1 On-Site Hedge Baseline'!$B$10:T261,16,FALSE))</f>
        <v/>
      </c>
      <c r="Q16" s="362" t="str">
        <f>IF(M16="","",VLOOKUP(M16,'G-6 Hedgerow Data'!$B$2:$AG$15,2,FALSE))</f>
        <v/>
      </c>
      <c r="R16" s="363" t="str">
        <f>IF(M16="","",VLOOKUP(M16,'G-6 Hedgerow Data'!$B$2:$AG$15,3,FALSE))</f>
        <v/>
      </c>
      <c r="S16" s="114"/>
      <c r="T16" s="401" t="str">
        <f>IFERROR(VLOOKUP(S16,'G-1 All Habitats'!$Z$2:$AA$9,2,FALSE),"")</f>
        <v/>
      </c>
      <c r="U16" s="114"/>
      <c r="V16" s="382" t="str">
        <f>IF(U16="","",IF(VLOOKUP(U16,'G-3 Multipliers'!$L$3:$N$6,2,FALSE)=0,"Spatial Data Missing ⚠",VLOOKUP(U16,'G-3 Multipliers'!$L$3:$N$6,2,FALSE)))</f>
        <v/>
      </c>
      <c r="W16" s="386"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70" t="str">
        <f t="shared" si="5"/>
        <v/>
      </c>
      <c r="AF16" s="370" t="str">
        <f t="shared" si="6"/>
        <v/>
      </c>
      <c r="AG16" s="386" t="str">
        <f>IFERROR(IF(O16="","",VLOOKUP(AD16,'G-3 Multipliers'!$P$3:$Q$6,2,FALSE)),"")</f>
        <v/>
      </c>
      <c r="AH16" s="376" t="str">
        <f>IFERROR(IF(OR(M16="",S16="",U16=""),"",(((((P16*R16*T16)-(P16*F16*H16))*(AG16*AC16))+(P16*F16*H16))*(W16))),"")</f>
        <v/>
      </c>
      <c r="AI16" s="188"/>
      <c r="AJ16" s="118"/>
      <c r="AK16" s="120"/>
      <c r="AT16" s="30" t="str">
        <f>IFERROR(INDEX('G-6 Hedgerow Data'!$BJ$3:$BJ$15,MATCH(M16,'G-6 Hedgerow Data'!$B$3:$B$15,0)),"")</f>
        <v/>
      </c>
    </row>
    <row r="17" spans="2:46" ht="13.8" x14ac:dyDescent="0.25">
      <c r="B17" s="392" t="str">
        <f>'B-1 On-Site Hedge Baseline'!AK15</f>
        <v/>
      </c>
      <c r="C17" s="382" t="str">
        <f>IF(B17="","",IF(ISNA(VLOOKUP($B17,'B-1 On-Site Hedge Baseline'!$B$1:$L$257,3,FALSE)),"",(VLOOKUP($B17,'B-1 On-Site Hedge Baseline'!$B$1:$L$257,3,FALSE))))</f>
        <v/>
      </c>
      <c r="D17" s="382" t="str">
        <f>IF(B17="","",IF(ISNA(VLOOKUP($B17,'B-1 On-Site Hedge Baseline'!$B$1:$L$257,4,FALSE)),"",(VLOOKUP($B17,'B-1 On-Site Hedge Baseline'!$B$1:$L$257,4,FALSE))))</f>
        <v/>
      </c>
      <c r="E17" s="382" t="str">
        <f>IF(B17="","",IF(ISNA(VLOOKUP($B17,'B-1 On-Site Hedge Baseline'!$B$1:$L$257,5,FALSE)),"",(VLOOKUP($B17,'B-1 On-Site Hedge Baseline'!$B$1:$L$257,5,FALSE))))</f>
        <v/>
      </c>
      <c r="F17" s="382" t="str">
        <f>IF(B17="","",IF(ISNA(VLOOKUP($B17,'B-1 On-Site Hedge Baseline'!$B$1:$L$257,6,FALSE)),"",(VLOOKUP($B17,'B-1 On-Site Hedge Baseline'!$B$1:$L$257,6,FALSE))))</f>
        <v/>
      </c>
      <c r="G17" s="382" t="str">
        <f>IF(B17="","",IF(ISNA(VLOOKUP($B17,'B-1 On-Site Hedge Baseline'!$B$1:$L$257,7,FALSE)),"",(VLOOKUP($B17,'B-1 On-Site Hedge Baseline'!$B$1:$L$257,7,FALSE))))</f>
        <v/>
      </c>
      <c r="H17" s="382" t="str">
        <f>IF(B17="","",IF(ISNA(VLOOKUP($B17,'B-1 On-Site Hedge Baseline'!$B$1:$L$257,8,FALSE)),"",(VLOOKUP($B17,'B-1 On-Site Hedge Baseline'!$B$1:$L$257,8,FALSE))))</f>
        <v/>
      </c>
      <c r="I17" s="382" t="str">
        <f>IF(B17="","",IF(ISNA(VLOOKUP($B17,'B-1 On-Site Hedge Baseline'!$B$1:$L$257,10,FALSE)),"",(VLOOKUP($B17,'B-1 On-Site Hedge Baseline'!$B$1:$L$257,10,FALSE))))</f>
        <v/>
      </c>
      <c r="J17" s="382" t="str">
        <f>IF(B17="","",IF(ISNA(VLOOKUP($B17,'B-1 On-Site Hedge Baseline'!$B$1:$L$257,11,FALSE)),"",(VLOOKUP($B17,'B-1 On-Site Hedge Baseline'!$B$1:$L$257,11,FALSE))))</f>
        <v/>
      </c>
      <c r="K17" s="382" t="str">
        <f>IF(B17="","",IF(ISNA(VLOOKUP($B17,'B-1 On-Site Hedge Baseline'!$B$1:$U$257,13,FALSE)),"",(VLOOKUP($B17,'B-1 On-Site Hedge Baseline'!$B$1:$U$257,13,FALSE))))</f>
        <v/>
      </c>
      <c r="L17" s="386" t="str">
        <f>IF(B17="","",IF(ISNA(VLOOKUP($B17,'B-1 On-Site Hedge Baseline'!$B$1:$U$257,12,FALSE)),"",(VLOOKUP($B17,'B-1 On-Site Hedge Baseline'!$B$1:$U$257,12,FALSE))))</f>
        <v/>
      </c>
      <c r="M17" s="315" t="str">
        <f t="shared" si="0"/>
        <v/>
      </c>
      <c r="N17" s="362" t="str">
        <f>IFERROR(IF(B17="","",INDEX('G-6 Hedgerow Data'!$AN$3:$AZ$15,MATCH(C17,'G-6 Hedgerow Data'!$AM$3:$AM$15,0),MATCH(M17,'G-6 Hedgerow Data'!$AN$2:$AZ$2,0))),"")</f>
        <v/>
      </c>
      <c r="O17" s="363" t="str">
        <f t="shared" si="2"/>
        <v/>
      </c>
      <c r="P17" s="417" t="str">
        <f>IF(B17="","",VLOOKUP(B17,'B-1 On-Site Hedge Baseline'!$B$10:T262,16,FALSE))</f>
        <v/>
      </c>
      <c r="Q17" s="362" t="str">
        <f>IF(M17="","",VLOOKUP(M17,'G-6 Hedgerow Data'!$B$2:$AG$15,2,FALSE))</f>
        <v/>
      </c>
      <c r="R17" s="363" t="str">
        <f>IF(M17="","",VLOOKUP(M17,'G-6 Hedgerow Data'!$B$2:$AG$15,3,FALSE))</f>
        <v/>
      </c>
      <c r="S17" s="55"/>
      <c r="T17" s="401" t="str">
        <f>IFERROR(VLOOKUP(S17,'G-1 All Habitats'!$Z$2:$AA$9,2,FALSE),"")</f>
        <v/>
      </c>
      <c r="U17" s="114"/>
      <c r="V17" s="382" t="str">
        <f>IF(U17="","",IF(VLOOKUP(U17,'G-3 Multipliers'!$L$3:$N$6,2,FALSE)=0,"Spatial Data Missing ⚠",VLOOKUP(U17,'G-3 Multipliers'!$L$3:$N$6,2,FALSE)))</f>
        <v/>
      </c>
      <c r="W17" s="386"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70" t="str">
        <f t="shared" si="5"/>
        <v/>
      </c>
      <c r="AF17" s="370" t="str">
        <f t="shared" si="6"/>
        <v/>
      </c>
      <c r="AG17" s="386" t="str">
        <f>IFERROR(IF(O17="","",VLOOKUP(AD17,'G-3 Multipliers'!$P$3:$Q$6,2,FALSE)),"")</f>
        <v/>
      </c>
      <c r="AH17" s="376" t="str">
        <f t="shared" si="7"/>
        <v/>
      </c>
      <c r="AI17" s="188"/>
      <c r="AJ17" s="118"/>
      <c r="AK17" s="120"/>
      <c r="AT17" s="30" t="str">
        <f>IFERROR(INDEX('G-6 Hedgerow Data'!$BJ$3:$BJ$15,MATCH(M17,'G-6 Hedgerow Data'!$B$3:$B$15,0)),"")</f>
        <v/>
      </c>
    </row>
    <row r="18" spans="2:46" ht="13.8" x14ac:dyDescent="0.25">
      <c r="B18" s="392" t="str">
        <f>'B-1 On-Site Hedge Baseline'!AK16</f>
        <v/>
      </c>
      <c r="C18" s="382" t="str">
        <f>IF(B18="","",IF(ISNA(VLOOKUP($B18,'B-1 On-Site Hedge Baseline'!$B$1:$L$257,3,FALSE)),"",(VLOOKUP($B18,'B-1 On-Site Hedge Baseline'!$B$1:$L$257,3,FALSE))))</f>
        <v/>
      </c>
      <c r="D18" s="382" t="str">
        <f>IF(B18="","",IF(ISNA(VLOOKUP($B18,'B-1 On-Site Hedge Baseline'!$B$1:$L$257,4,FALSE)),"",(VLOOKUP($B18,'B-1 On-Site Hedge Baseline'!$B$1:$L$257,4,FALSE))))</f>
        <v/>
      </c>
      <c r="E18" s="382" t="str">
        <f>IF(B18="","",IF(ISNA(VLOOKUP($B18,'B-1 On-Site Hedge Baseline'!$B$1:$L$257,5,FALSE)),"",(VLOOKUP($B18,'B-1 On-Site Hedge Baseline'!$B$1:$L$257,5,FALSE))))</f>
        <v/>
      </c>
      <c r="F18" s="382" t="str">
        <f>IF(B18="","",IF(ISNA(VLOOKUP($B18,'B-1 On-Site Hedge Baseline'!$B$1:$L$257,6,FALSE)),"",(VLOOKUP($B18,'B-1 On-Site Hedge Baseline'!$B$1:$L$257,6,FALSE))))</f>
        <v/>
      </c>
      <c r="G18" s="382" t="str">
        <f>IF(B18="","",IF(ISNA(VLOOKUP($B18,'B-1 On-Site Hedge Baseline'!$B$1:$L$257,7,FALSE)),"",(VLOOKUP($B18,'B-1 On-Site Hedge Baseline'!$B$1:$L$257,7,FALSE))))</f>
        <v/>
      </c>
      <c r="H18" s="382" t="str">
        <f>IF(B18="","",IF(ISNA(VLOOKUP($B18,'B-1 On-Site Hedge Baseline'!$B$1:$L$257,8,FALSE)),"",(VLOOKUP($B18,'B-1 On-Site Hedge Baseline'!$B$1:$L$257,8,FALSE))))</f>
        <v/>
      </c>
      <c r="I18" s="382" t="str">
        <f>IF(B18="","",IF(ISNA(VLOOKUP($B18,'B-1 On-Site Hedge Baseline'!$B$1:$L$257,10,FALSE)),"",(VLOOKUP($B18,'B-1 On-Site Hedge Baseline'!$B$1:$L$257,10,FALSE))))</f>
        <v/>
      </c>
      <c r="J18" s="382" t="str">
        <f>IF(B18="","",IF(ISNA(VLOOKUP($B18,'B-1 On-Site Hedge Baseline'!$B$1:$L$257,11,FALSE)),"",(VLOOKUP($B18,'B-1 On-Site Hedge Baseline'!$B$1:$L$257,11,FALSE))))</f>
        <v/>
      </c>
      <c r="K18" s="382" t="str">
        <f>IF(B18="","",IF(ISNA(VLOOKUP($B18,'B-1 On-Site Hedge Baseline'!$B$1:$U$257,13,FALSE)),"",(VLOOKUP($B18,'B-1 On-Site Hedge Baseline'!$B$1:$U$257,13,FALSE))))</f>
        <v/>
      </c>
      <c r="L18" s="386" t="str">
        <f>IF(B18="","",IF(ISNA(VLOOKUP($B18,'B-1 On-Site Hedge Baseline'!$B$1:$U$257,12,FALSE)),"",(VLOOKUP($B18,'B-1 On-Site Hedge Baseline'!$B$1:$U$257,12,FALSE))))</f>
        <v/>
      </c>
      <c r="M18" s="315" t="str">
        <f t="shared" si="0"/>
        <v/>
      </c>
      <c r="N18" s="362" t="str">
        <f>IFERROR(IF(B18="","",INDEX('G-6 Hedgerow Data'!$AN$3:$AZ$15,MATCH(C18,'G-6 Hedgerow Data'!$AM$3:$AM$15,0),MATCH(M18,'G-6 Hedgerow Data'!$AN$2:$AZ$2,0))),"")</f>
        <v/>
      </c>
      <c r="O18" s="363" t="str">
        <f t="shared" si="2"/>
        <v/>
      </c>
      <c r="P18" s="417" t="str">
        <f>IF(B18="","",VLOOKUP(B18,'B-1 On-Site Hedge Baseline'!$B$10:T263,16,FALSE))</f>
        <v/>
      </c>
      <c r="Q18" s="362" t="str">
        <f>IF(M18="","",VLOOKUP(M18,'G-6 Hedgerow Data'!$B$2:$AG$15,2,FALSE))</f>
        <v/>
      </c>
      <c r="R18" s="363" t="str">
        <f>IF(M18="","",VLOOKUP(M18,'G-6 Hedgerow Data'!$B$2:$AG$15,3,FALSE))</f>
        <v/>
      </c>
      <c r="S18" s="55"/>
      <c r="T18" s="401" t="str">
        <f>IFERROR(VLOOKUP(S18,'G-1 All Habitats'!$Z$2:$AA$9,2,FALSE),"")</f>
        <v/>
      </c>
      <c r="U18" s="114"/>
      <c r="V18" s="382" t="str">
        <f>IF(U18="","",IF(VLOOKUP(U18,'G-3 Multipliers'!$L$3:$N$6,2,FALSE)=0,"Spatial Data Missing ⚠",VLOOKUP(U18,'G-3 Multipliers'!$L$3:$N$6,2,FALSE)))</f>
        <v/>
      </c>
      <c r="W18" s="386"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70" t="str">
        <f t="shared" si="5"/>
        <v/>
      </c>
      <c r="AF18" s="370" t="str">
        <f t="shared" si="6"/>
        <v/>
      </c>
      <c r="AG18" s="386" t="str">
        <f>IFERROR(IF(O18="","",VLOOKUP(AD18,'G-3 Multipliers'!$P$3:$Q$6,2,FALSE)),"")</f>
        <v/>
      </c>
      <c r="AH18" s="376" t="str">
        <f t="shared" si="7"/>
        <v/>
      </c>
      <c r="AI18" s="188"/>
      <c r="AJ18" s="118"/>
      <c r="AK18" s="120"/>
      <c r="AT18" s="30" t="str">
        <f>IFERROR(INDEX('G-6 Hedgerow Data'!$BJ$3:$BJ$15,MATCH(M18,'G-6 Hedgerow Data'!$B$3:$B$15,0)),"")</f>
        <v/>
      </c>
    </row>
    <row r="19" spans="2:46" ht="13.8" x14ac:dyDescent="0.25">
      <c r="B19" s="392" t="str">
        <f>'B-1 On-Site Hedge Baseline'!AK17</f>
        <v/>
      </c>
      <c r="C19" s="382" t="str">
        <f>IF(B19="","",IF(ISNA(VLOOKUP($B19,'B-1 On-Site Hedge Baseline'!$B$1:$L$257,3,FALSE)),"",(VLOOKUP($B19,'B-1 On-Site Hedge Baseline'!$B$1:$L$257,3,FALSE))))</f>
        <v/>
      </c>
      <c r="D19" s="382" t="str">
        <f>IF(B19="","",IF(ISNA(VLOOKUP($B19,'B-1 On-Site Hedge Baseline'!$B$1:$L$257,4,FALSE)),"",(VLOOKUP($B19,'B-1 On-Site Hedge Baseline'!$B$1:$L$257,4,FALSE))))</f>
        <v/>
      </c>
      <c r="E19" s="382" t="str">
        <f>IF(B19="","",IF(ISNA(VLOOKUP($B19,'B-1 On-Site Hedge Baseline'!$B$1:$L$257,5,FALSE)),"",(VLOOKUP($B19,'B-1 On-Site Hedge Baseline'!$B$1:$L$257,5,FALSE))))</f>
        <v/>
      </c>
      <c r="F19" s="382" t="str">
        <f>IF(B19="","",IF(ISNA(VLOOKUP($B19,'B-1 On-Site Hedge Baseline'!$B$1:$L$257,6,FALSE)),"",(VLOOKUP($B19,'B-1 On-Site Hedge Baseline'!$B$1:$L$257,6,FALSE))))</f>
        <v/>
      </c>
      <c r="G19" s="382" t="str">
        <f>IF(B19="","",IF(ISNA(VLOOKUP($B19,'B-1 On-Site Hedge Baseline'!$B$1:$L$257,7,FALSE)),"",(VLOOKUP($B19,'B-1 On-Site Hedge Baseline'!$B$1:$L$257,7,FALSE))))</f>
        <v/>
      </c>
      <c r="H19" s="382" t="str">
        <f>IF(B19="","",IF(ISNA(VLOOKUP($B19,'B-1 On-Site Hedge Baseline'!$B$1:$L$257,8,FALSE)),"",(VLOOKUP($B19,'B-1 On-Site Hedge Baseline'!$B$1:$L$257,8,FALSE))))</f>
        <v/>
      </c>
      <c r="I19" s="382" t="str">
        <f>IF(B19="","",IF(ISNA(VLOOKUP($B19,'B-1 On-Site Hedge Baseline'!$B$1:$L$257,10,FALSE)),"",(VLOOKUP($B19,'B-1 On-Site Hedge Baseline'!$B$1:$L$257,10,FALSE))))</f>
        <v/>
      </c>
      <c r="J19" s="382" t="str">
        <f>IF(B19="","",IF(ISNA(VLOOKUP($B19,'B-1 On-Site Hedge Baseline'!$B$1:$L$257,11,FALSE)),"",(VLOOKUP($B19,'B-1 On-Site Hedge Baseline'!$B$1:$L$257,11,FALSE))))</f>
        <v/>
      </c>
      <c r="K19" s="382" t="str">
        <f>IF(B19="","",IF(ISNA(VLOOKUP($B19,'B-1 On-Site Hedge Baseline'!$B$1:$U$257,13,FALSE)),"",(VLOOKUP($B19,'B-1 On-Site Hedge Baseline'!$B$1:$U$257,13,FALSE))))</f>
        <v/>
      </c>
      <c r="L19" s="386" t="str">
        <f>IF(B19="","",IF(ISNA(VLOOKUP($B19,'B-1 On-Site Hedge Baseline'!$B$1:$U$257,12,FALSE)),"",(VLOOKUP($B19,'B-1 On-Site Hedge Baseline'!$B$1:$U$257,12,FALSE))))</f>
        <v/>
      </c>
      <c r="M19" s="315" t="str">
        <f t="shared" si="0"/>
        <v/>
      </c>
      <c r="N19" s="362" t="str">
        <f>IFERROR(IF(B19="","",INDEX('G-6 Hedgerow Data'!$AN$3:$AZ$15,MATCH(C19,'G-6 Hedgerow Data'!$AM$3:$AM$15,0),MATCH(M19,'G-6 Hedgerow Data'!$AN$2:$AZ$2,0))),"")</f>
        <v/>
      </c>
      <c r="O19" s="363" t="str">
        <f t="shared" si="2"/>
        <v/>
      </c>
      <c r="P19" s="417" t="str">
        <f>IF(B19="","",VLOOKUP(B19,'B-1 On-Site Hedge Baseline'!$B$10:T264,16,FALSE))</f>
        <v/>
      </c>
      <c r="Q19" s="362" t="str">
        <f>IF(M19="","",VLOOKUP(M19,'G-6 Hedgerow Data'!$B$2:$AG$15,2,FALSE))</f>
        <v/>
      </c>
      <c r="R19" s="363" t="str">
        <f>IF(M19="","",VLOOKUP(M19,'G-6 Hedgerow Data'!$B$2:$AG$15,3,FALSE))</f>
        <v/>
      </c>
      <c r="S19" s="55"/>
      <c r="T19" s="401" t="str">
        <f>IFERROR(VLOOKUP(S19,'G-1 All Habitats'!$Z$2:$AA$9,2,FALSE),"")</f>
        <v/>
      </c>
      <c r="U19" s="114"/>
      <c r="V19" s="382" t="str">
        <f>IF(U19="","",IF(VLOOKUP(U19,'G-3 Multipliers'!$L$3:$N$6,2,FALSE)=0,"Spatial Data Missing ⚠",VLOOKUP(U19,'G-3 Multipliers'!$L$3:$N$6,2,FALSE)))</f>
        <v/>
      </c>
      <c r="W19" s="386"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70" t="str">
        <f t="shared" si="5"/>
        <v/>
      </c>
      <c r="AF19" s="370" t="str">
        <f t="shared" si="6"/>
        <v/>
      </c>
      <c r="AG19" s="386" t="str">
        <f>IFERROR(IF(O19="","",VLOOKUP(AD19,'G-3 Multipliers'!$P$3:$Q$6,2,FALSE)),"")</f>
        <v/>
      </c>
      <c r="AH19" s="376" t="str">
        <f t="shared" si="7"/>
        <v/>
      </c>
      <c r="AI19" s="188"/>
      <c r="AJ19" s="118"/>
      <c r="AK19" s="120"/>
      <c r="AT19" s="30" t="str">
        <f>IFERROR(INDEX('G-6 Hedgerow Data'!$BJ$3:$BJ$15,MATCH(M19,'G-6 Hedgerow Data'!$B$3:$B$15,0)),"")</f>
        <v/>
      </c>
    </row>
    <row r="20" spans="2:46" ht="13.8" x14ac:dyDescent="0.25">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si="0"/>
        <v/>
      </c>
      <c r="N20" s="362" t="str">
        <f>IFERROR(IF(B20="","",INDEX('G-6 Hedgerow Data'!$AN$3:$AZ$15,MATCH(C20,'G-6 Hedgerow Data'!$AM$3:$AM$15,0),MATCH(M20,'G-6 Hedgerow Data'!$AN$2:$AZ$2,0))),"")</f>
        <v/>
      </c>
      <c r="O20" s="363" t="str">
        <f t="shared" si="2"/>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70" t="str">
        <f t="shared" si="5"/>
        <v/>
      </c>
      <c r="AF20" s="370" t="str">
        <f t="shared" si="6"/>
        <v/>
      </c>
      <c r="AG20" s="386" t="str">
        <f>IFERROR(IF(O20="","",VLOOKUP(AD20,'G-3 Multipliers'!$P$3:$Q$6,2,FALSE)),"")</f>
        <v/>
      </c>
      <c r="AH20" s="376" t="str">
        <f t="shared" si="7"/>
        <v/>
      </c>
      <c r="AI20" s="188"/>
      <c r="AJ20" s="118"/>
      <c r="AK20" s="120"/>
      <c r="AT20" s="30" t="str">
        <f>IFERROR(INDEX('G-6 Hedgerow Data'!$BJ$3:$BJ$15,MATCH(M20,'G-6 Hedgerow Data'!$B$3:$B$15,0)),"")</f>
        <v/>
      </c>
    </row>
    <row r="21" spans="2:46" ht="13.8" x14ac:dyDescent="0.25">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0"/>
        <v/>
      </c>
      <c r="N21" s="362" t="str">
        <f>IFERROR(IF(B21="","",INDEX('G-6 Hedgerow Data'!$AN$3:$AZ$15,MATCH(C21,'G-6 Hedgerow Data'!$AM$3:$AM$15,0),MATCH(M21,'G-6 Hedgerow Data'!$AN$2:$AZ$2,0))),"")</f>
        <v/>
      </c>
      <c r="O21" s="363" t="str">
        <f t="shared" si="2"/>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70" t="str">
        <f t="shared" si="5"/>
        <v/>
      </c>
      <c r="AF21" s="370" t="str">
        <f t="shared" si="6"/>
        <v/>
      </c>
      <c r="AG21" s="386" t="str">
        <f>IFERROR(IF(O21="","",VLOOKUP(AD21,'G-3 Multipliers'!$P$3:$Q$6,2,FALSE)),"")</f>
        <v/>
      </c>
      <c r="AH21" s="376" t="str">
        <f t="shared" si="7"/>
        <v/>
      </c>
      <c r="AI21" s="188"/>
      <c r="AJ21" s="118"/>
      <c r="AK21" s="120"/>
      <c r="AT21" s="30" t="str">
        <f>IFERROR(INDEX('G-6 Hedgerow Data'!$BJ$3:$BJ$15,MATCH(M21,'G-6 Hedgerow Data'!$B$3:$B$15,0)),"")</f>
        <v/>
      </c>
    </row>
    <row r="22" spans="2:46" ht="13.8" x14ac:dyDescent="0.25">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0"/>
        <v/>
      </c>
      <c r="N22" s="362" t="str">
        <f>IFERROR(IF(B22="","",INDEX('G-6 Hedgerow Data'!$AN$3:$AZ$15,MATCH(C22,'G-6 Hedgerow Data'!$AM$3:$AM$15,0),MATCH(M22,'G-6 Hedgerow Data'!$AN$2:$AZ$2,0))),"")</f>
        <v/>
      </c>
      <c r="O22" s="363" t="str">
        <f t="shared" si="2"/>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70" t="str">
        <f t="shared" si="5"/>
        <v/>
      </c>
      <c r="AF22" s="370" t="str">
        <f t="shared" si="6"/>
        <v/>
      </c>
      <c r="AG22" s="386" t="str">
        <f>IFERROR(IF(O22="","",VLOOKUP(AD22,'G-3 Multipliers'!$P$3:$Q$6,2,FALSE)),"")</f>
        <v/>
      </c>
      <c r="AH22" s="376" t="str">
        <f t="shared" si="7"/>
        <v/>
      </c>
      <c r="AI22" s="188"/>
      <c r="AJ22" s="118"/>
      <c r="AK22" s="120"/>
      <c r="AT22" s="30" t="str">
        <f>IFERROR(INDEX('G-6 Hedgerow Data'!$BJ$3:$BJ$15,MATCH(M22,'G-6 Hedgerow Data'!$B$3:$B$15,0)),"")</f>
        <v/>
      </c>
    </row>
    <row r="23" spans="2:46" ht="13.8" x14ac:dyDescent="0.25">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0"/>
        <v/>
      </c>
      <c r="N23" s="362" t="str">
        <f>IFERROR(IF(B23="","",INDEX('G-6 Hedgerow Data'!$AN$3:$AZ$15,MATCH(C23,'G-6 Hedgerow Data'!$AM$3:$AM$15,0),MATCH(M23,'G-6 Hedgerow Data'!$AN$2:$AZ$2,0))),"")</f>
        <v/>
      </c>
      <c r="O23" s="363" t="str">
        <f t="shared" si="2"/>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70" t="str">
        <f t="shared" si="5"/>
        <v/>
      </c>
      <c r="AF23" s="370" t="str">
        <f t="shared" si="6"/>
        <v/>
      </c>
      <c r="AG23" s="386" t="str">
        <f>IFERROR(IF(O23="","",VLOOKUP(AD23,'G-3 Multipliers'!$P$3:$Q$6,2,FALSE)),"")</f>
        <v/>
      </c>
      <c r="AH23" s="376" t="str">
        <f t="shared" si="7"/>
        <v/>
      </c>
      <c r="AI23" s="188"/>
      <c r="AJ23" s="118"/>
      <c r="AK23" s="120"/>
      <c r="AT23" s="30" t="str">
        <f>IFERROR(INDEX('G-6 Hedgerow Data'!$BJ$3:$BJ$15,MATCH(M23,'G-6 Hedgerow Data'!$B$3:$B$15,0)),"")</f>
        <v/>
      </c>
    </row>
    <row r="24" spans="2:46" ht="13.8" x14ac:dyDescent="0.25">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0"/>
        <v/>
      </c>
      <c r="N24" s="362" t="str">
        <f>IFERROR(IF(B24="","",INDEX('G-6 Hedgerow Data'!$AN$3:$AZ$15,MATCH(C24,'G-6 Hedgerow Data'!$AM$3:$AM$15,0),MATCH(M24,'G-6 Hedgerow Data'!$AN$2:$AZ$2,0))),"")</f>
        <v/>
      </c>
      <c r="O24" s="363" t="str">
        <f t="shared" si="2"/>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70" t="str">
        <f t="shared" si="5"/>
        <v/>
      </c>
      <c r="AF24" s="370" t="str">
        <f t="shared" si="6"/>
        <v/>
      </c>
      <c r="AG24" s="386" t="str">
        <f>IFERROR(IF(O24="","",VLOOKUP(AD24,'G-3 Multipliers'!$P$3:$Q$6,2,FALSE)),"")</f>
        <v/>
      </c>
      <c r="AH24" s="376" t="str">
        <f t="shared" si="7"/>
        <v/>
      </c>
      <c r="AI24" s="188"/>
      <c r="AJ24" s="118"/>
      <c r="AK24" s="120"/>
      <c r="AT24" s="30" t="str">
        <f>IFERROR(INDEX('G-6 Hedgerow Data'!$BJ$3:$BJ$15,MATCH(M24,'G-6 Hedgerow Data'!$B$3:$B$15,0)),"")</f>
        <v/>
      </c>
    </row>
    <row r="25" spans="2:46" ht="13.8" x14ac:dyDescent="0.25">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0"/>
        <v/>
      </c>
      <c r="N25" s="362" t="str">
        <f>IFERROR(IF(B25="","",INDEX('G-6 Hedgerow Data'!$AN$3:$AZ$15,MATCH(C25,'G-6 Hedgerow Data'!$AM$3:$AM$15,0),MATCH(M25,'G-6 Hedgerow Data'!$AN$2:$AZ$2,0))),"")</f>
        <v/>
      </c>
      <c r="O25" s="363" t="str">
        <f t="shared" si="2"/>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70" t="str">
        <f t="shared" si="5"/>
        <v/>
      </c>
      <c r="AF25" s="370" t="str">
        <f t="shared" si="6"/>
        <v/>
      </c>
      <c r="AG25" s="386" t="str">
        <f>IFERROR(IF(O25="","",VLOOKUP(AD25,'G-3 Multipliers'!$P$3:$Q$6,2,FALSE)),"")</f>
        <v/>
      </c>
      <c r="AH25" s="376" t="str">
        <f t="shared" si="7"/>
        <v/>
      </c>
      <c r="AI25" s="188"/>
      <c r="AJ25" s="118"/>
      <c r="AK25" s="120"/>
      <c r="AT25" s="30" t="str">
        <f>IFERROR(INDEX('G-6 Hedgerow Data'!$BJ$3:$BJ$15,MATCH(M25,'G-6 Hedgerow Data'!$B$3:$B$15,0)),"")</f>
        <v/>
      </c>
    </row>
    <row r="26" spans="2:46" ht="13.8" x14ac:dyDescent="0.25">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0"/>
        <v/>
      </c>
      <c r="N26" s="362" t="str">
        <f>IFERROR(IF(B26="","",INDEX('G-6 Hedgerow Data'!$AN$3:$AZ$15,MATCH(C26,'G-6 Hedgerow Data'!$AM$3:$AM$15,0),MATCH(M26,'G-6 Hedgerow Data'!$AN$2:$AZ$2,0))),"")</f>
        <v/>
      </c>
      <c r="O26" s="363" t="str">
        <f t="shared" si="2"/>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70" t="str">
        <f t="shared" si="5"/>
        <v/>
      </c>
      <c r="AF26" s="370" t="str">
        <f t="shared" si="6"/>
        <v/>
      </c>
      <c r="AG26" s="386" t="str">
        <f>IFERROR(IF(O26="","",VLOOKUP(AD26,'G-3 Multipliers'!$P$3:$Q$6,2,FALSE)),"")</f>
        <v/>
      </c>
      <c r="AH26" s="376" t="str">
        <f t="shared" si="7"/>
        <v/>
      </c>
      <c r="AI26" s="188"/>
      <c r="AJ26" s="118"/>
      <c r="AK26" s="120"/>
      <c r="AT26" s="30" t="str">
        <f>IFERROR(INDEX('G-6 Hedgerow Data'!$BJ$3:$BJ$15,MATCH(M26,'G-6 Hedgerow Data'!$B$3:$B$15,0)),"")</f>
        <v/>
      </c>
    </row>
    <row r="27" spans="2:46" ht="13.8" x14ac:dyDescent="0.25">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0"/>
        <v/>
      </c>
      <c r="N27" s="362" t="str">
        <f>IFERROR(IF(B27="","",INDEX('G-6 Hedgerow Data'!$AN$3:$AZ$15,MATCH(C27,'G-6 Hedgerow Data'!$AM$3:$AM$15,0),MATCH(M27,'G-6 Hedgerow Data'!$AN$2:$AZ$2,0))),"")</f>
        <v/>
      </c>
      <c r="O27" s="363" t="str">
        <f t="shared" si="2"/>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70" t="str">
        <f t="shared" si="5"/>
        <v/>
      </c>
      <c r="AF27" s="370" t="str">
        <f t="shared" si="6"/>
        <v/>
      </c>
      <c r="AG27" s="386" t="str">
        <f>IFERROR(IF(O27="","",VLOOKUP(AD27,'G-3 Multipliers'!$P$3:$Q$6,2,FALSE)),"")</f>
        <v/>
      </c>
      <c r="AH27" s="376" t="str">
        <f t="shared" si="7"/>
        <v/>
      </c>
      <c r="AI27" s="188"/>
      <c r="AJ27" s="118"/>
      <c r="AK27" s="120"/>
      <c r="AT27" s="30" t="str">
        <f>IFERROR(INDEX('G-6 Hedgerow Data'!$BJ$3:$BJ$15,MATCH(M27,'G-6 Hedgerow Data'!$B$3:$B$15,0)),"")</f>
        <v/>
      </c>
    </row>
    <row r="28" spans="2:46" ht="13.8" x14ac:dyDescent="0.25">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0"/>
        <v/>
      </c>
      <c r="N28" s="362" t="str">
        <f>IFERROR(IF(B28="","",INDEX('G-6 Hedgerow Data'!$AN$3:$AZ$15,MATCH(C28,'G-6 Hedgerow Data'!$AM$3:$AM$15,0),MATCH(M28,'G-6 Hedgerow Data'!$AN$2:$AZ$2,0))),"")</f>
        <v/>
      </c>
      <c r="O28" s="363" t="str">
        <f t="shared" si="2"/>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70" t="str">
        <f t="shared" si="5"/>
        <v/>
      </c>
      <c r="AF28" s="370" t="str">
        <f t="shared" si="6"/>
        <v/>
      </c>
      <c r="AG28" s="386" t="str">
        <f>IFERROR(IF(O28="","",VLOOKUP(AD28,'G-3 Multipliers'!$P$3:$Q$6,2,FALSE)),"")</f>
        <v/>
      </c>
      <c r="AH28" s="376" t="str">
        <f t="shared" si="7"/>
        <v/>
      </c>
      <c r="AI28" s="188"/>
      <c r="AJ28" s="118"/>
      <c r="AK28" s="120"/>
      <c r="AT28" s="30" t="str">
        <f>IFERROR(INDEX('G-6 Hedgerow Data'!$BJ$3:$BJ$15,MATCH(M28,'G-6 Hedgerow Data'!$B$3:$B$15,0)),"")</f>
        <v/>
      </c>
    </row>
    <row r="29" spans="2:46" ht="13.8" x14ac:dyDescent="0.25">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0"/>
        <v/>
      </c>
      <c r="N29" s="362" t="str">
        <f>IFERROR(IF(B29="","",INDEX('G-6 Hedgerow Data'!$AN$3:$AZ$15,MATCH(C29,'G-6 Hedgerow Data'!$AM$3:$AM$15,0),MATCH(M29,'G-6 Hedgerow Data'!$AN$2:$AZ$2,0))),"")</f>
        <v/>
      </c>
      <c r="O29" s="363" t="str">
        <f t="shared" si="2"/>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70" t="str">
        <f t="shared" si="5"/>
        <v/>
      </c>
      <c r="AF29" s="370" t="str">
        <f t="shared" si="6"/>
        <v/>
      </c>
      <c r="AG29" s="386" t="str">
        <f>IFERROR(IF(O29="","",VLOOKUP(AD29,'G-3 Multipliers'!$P$3:$Q$6,2,FALSE)),"")</f>
        <v/>
      </c>
      <c r="AH29" s="376" t="str">
        <f t="shared" si="7"/>
        <v/>
      </c>
      <c r="AI29" s="188"/>
      <c r="AJ29" s="118"/>
      <c r="AK29" s="120"/>
      <c r="AT29" s="30" t="str">
        <f>IFERROR(INDEX('G-6 Hedgerow Data'!$BJ$3:$BJ$15,MATCH(M29,'G-6 Hedgerow Data'!$B$3:$B$15,0)),"")</f>
        <v/>
      </c>
    </row>
    <row r="30" spans="2:46" ht="13.8" x14ac:dyDescent="0.25">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0"/>
        <v/>
      </c>
      <c r="N30" s="362" t="str">
        <f>IFERROR(IF(B30="","",INDEX('G-6 Hedgerow Data'!$AN$3:$AZ$15,MATCH(C30,'G-6 Hedgerow Data'!$AM$3:$AM$15,0),MATCH(M30,'G-6 Hedgerow Data'!$AN$2:$AZ$2,0))),"")</f>
        <v/>
      </c>
      <c r="O30" s="363" t="str">
        <f t="shared" si="2"/>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70" t="str">
        <f t="shared" si="5"/>
        <v/>
      </c>
      <c r="AF30" s="370" t="str">
        <f t="shared" si="6"/>
        <v/>
      </c>
      <c r="AG30" s="386" t="str">
        <f>IFERROR(IF(O30="","",VLOOKUP(AD30,'G-3 Multipliers'!$P$3:$Q$6,2,FALSE)),"")</f>
        <v/>
      </c>
      <c r="AH30" s="376" t="str">
        <f t="shared" si="7"/>
        <v/>
      </c>
      <c r="AI30" s="188"/>
      <c r="AJ30" s="118"/>
      <c r="AK30" s="120"/>
      <c r="AT30" s="30" t="str">
        <f>IFERROR(INDEX('G-6 Hedgerow Data'!$BJ$3:$BJ$15,MATCH(M30,'G-6 Hedgerow Data'!$B$3:$B$15,0)),"")</f>
        <v/>
      </c>
    </row>
    <row r="31" spans="2:46" ht="13.8" x14ac:dyDescent="0.25">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0"/>
        <v/>
      </c>
      <c r="N31" s="362" t="str">
        <f>IFERROR(IF(B31="","",INDEX('G-6 Hedgerow Data'!$AN$3:$AZ$15,MATCH(C31,'G-6 Hedgerow Data'!$AM$3:$AM$15,0),MATCH(M31,'G-6 Hedgerow Data'!$AN$2:$AZ$2,0))),"")</f>
        <v/>
      </c>
      <c r="O31" s="363" t="str">
        <f t="shared" si="2"/>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70" t="str">
        <f t="shared" si="5"/>
        <v/>
      </c>
      <c r="AF31" s="370" t="str">
        <f t="shared" si="6"/>
        <v/>
      </c>
      <c r="AG31" s="386" t="str">
        <f>IFERROR(IF(O31="","",VLOOKUP(AD31,'G-3 Multipliers'!$P$3:$Q$6,2,FALSE)),"")</f>
        <v/>
      </c>
      <c r="AH31" s="376" t="str">
        <f t="shared" si="7"/>
        <v/>
      </c>
      <c r="AI31" s="188"/>
      <c r="AJ31" s="118"/>
      <c r="AK31" s="120"/>
      <c r="AT31" s="30" t="str">
        <f>IFERROR(INDEX('G-6 Hedgerow Data'!$BJ$3:$BJ$15,MATCH(M31,'G-6 Hedgerow Data'!$B$3:$B$15,0)),"")</f>
        <v/>
      </c>
    </row>
    <row r="32" spans="2:46" ht="13.8" x14ac:dyDescent="0.25">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0"/>
        <v/>
      </c>
      <c r="N32" s="362" t="str">
        <f>IFERROR(IF(B32="","",INDEX('G-6 Hedgerow Data'!$AN$3:$AZ$15,MATCH(C32,'G-6 Hedgerow Data'!$AM$3:$AM$15,0),MATCH(M32,'G-6 Hedgerow Data'!$AN$2:$AZ$2,0))),"")</f>
        <v/>
      </c>
      <c r="O32" s="363" t="str">
        <f t="shared" si="2"/>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70" t="str">
        <f t="shared" si="5"/>
        <v/>
      </c>
      <c r="AF32" s="370" t="str">
        <f t="shared" si="6"/>
        <v/>
      </c>
      <c r="AG32" s="386" t="str">
        <f>IFERROR(IF(O32="","",VLOOKUP(AD32,'G-3 Multipliers'!$P$3:$Q$6,2,FALSE)),"")</f>
        <v/>
      </c>
      <c r="AH32" s="376" t="str">
        <f t="shared" si="7"/>
        <v/>
      </c>
      <c r="AI32" s="188"/>
      <c r="AJ32" s="118"/>
      <c r="AK32" s="120"/>
      <c r="AT32" s="30" t="str">
        <f>IFERROR(INDEX('G-6 Hedgerow Data'!$BJ$3:$BJ$15,MATCH(M32,'G-6 Hedgerow Data'!$B$3:$B$15,0)),"")</f>
        <v/>
      </c>
    </row>
    <row r="33" spans="2:46" ht="13.8" x14ac:dyDescent="0.25">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0"/>
        <v/>
      </c>
      <c r="N33" s="362" t="str">
        <f>IFERROR(IF(B33="","",INDEX('G-6 Hedgerow Data'!$AN$3:$AZ$15,MATCH(C33,'G-6 Hedgerow Data'!$AM$3:$AM$15,0),MATCH(M33,'G-6 Hedgerow Data'!$AN$2:$AZ$2,0))),"")</f>
        <v/>
      </c>
      <c r="O33" s="363" t="str">
        <f t="shared" si="2"/>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70" t="str">
        <f t="shared" si="5"/>
        <v/>
      </c>
      <c r="AF33" s="370" t="str">
        <f t="shared" si="6"/>
        <v/>
      </c>
      <c r="AG33" s="386" t="str">
        <f>IFERROR(IF(O33="","",VLOOKUP(AD33,'G-3 Multipliers'!$P$3:$Q$6,2,FALSE)),"")</f>
        <v/>
      </c>
      <c r="AH33" s="376" t="str">
        <f t="shared" si="7"/>
        <v/>
      </c>
      <c r="AI33" s="188"/>
      <c r="AJ33" s="118"/>
      <c r="AK33" s="120"/>
      <c r="AT33" s="30" t="str">
        <f>IFERROR(INDEX('G-6 Hedgerow Data'!$BJ$3:$BJ$15,MATCH(M33,'G-6 Hedgerow Data'!$B$3:$B$15,0)),"")</f>
        <v/>
      </c>
    </row>
    <row r="34" spans="2:46" ht="13.8" x14ac:dyDescent="0.25">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0"/>
        <v/>
      </c>
      <c r="N34" s="362" t="str">
        <f>IFERROR(IF(B34="","",INDEX('G-6 Hedgerow Data'!$AN$3:$AZ$15,MATCH(C34,'G-6 Hedgerow Data'!$AM$3:$AM$15,0),MATCH(M34,'G-6 Hedgerow Data'!$AN$2:$AZ$2,0))),"")</f>
        <v/>
      </c>
      <c r="O34" s="363" t="str">
        <f t="shared" si="2"/>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70" t="str">
        <f t="shared" si="5"/>
        <v/>
      </c>
      <c r="AF34" s="370" t="str">
        <f t="shared" si="6"/>
        <v/>
      </c>
      <c r="AG34" s="386" t="str">
        <f>IFERROR(IF(O34="","",VLOOKUP(AD34,'G-3 Multipliers'!$P$3:$Q$6,2,FALSE)),"")</f>
        <v/>
      </c>
      <c r="AH34" s="376" t="str">
        <f t="shared" si="7"/>
        <v/>
      </c>
      <c r="AI34" s="188"/>
      <c r="AJ34" s="118"/>
      <c r="AK34" s="120"/>
      <c r="AT34" s="30" t="str">
        <f>IFERROR(INDEX('G-6 Hedgerow Data'!$BJ$3:$BJ$15,MATCH(M34,'G-6 Hedgerow Data'!$B$3:$B$15,0)),"")</f>
        <v/>
      </c>
    </row>
    <row r="35" spans="2:46" ht="13.8" x14ac:dyDescent="0.25">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0"/>
        <v/>
      </c>
      <c r="N35" s="362" t="str">
        <f>IFERROR(IF(B35="","",INDEX('G-6 Hedgerow Data'!$AN$3:$AZ$15,MATCH(C35,'G-6 Hedgerow Data'!$AM$3:$AM$15,0),MATCH(M35,'G-6 Hedgerow Data'!$AN$2:$AZ$2,0))),"")</f>
        <v/>
      </c>
      <c r="O35" s="363" t="str">
        <f t="shared" si="2"/>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70" t="str">
        <f t="shared" si="5"/>
        <v/>
      </c>
      <c r="AF35" s="370" t="str">
        <f t="shared" si="6"/>
        <v/>
      </c>
      <c r="AG35" s="386" t="str">
        <f>IFERROR(IF(O35="","",VLOOKUP(AD35,'G-3 Multipliers'!$P$3:$Q$6,2,FALSE)),"")</f>
        <v/>
      </c>
      <c r="AH35" s="376" t="str">
        <f t="shared" si="7"/>
        <v/>
      </c>
      <c r="AI35" s="188"/>
      <c r="AJ35" s="118"/>
      <c r="AK35" s="120"/>
      <c r="AT35" s="30" t="str">
        <f>IFERROR(INDEX('G-6 Hedgerow Data'!$BJ$3:$BJ$15,MATCH(M35,'G-6 Hedgerow Data'!$B$3:$B$15,0)),"")</f>
        <v/>
      </c>
    </row>
    <row r="36" spans="2:46" ht="13.8" x14ac:dyDescent="0.25">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0"/>
        <v/>
      </c>
      <c r="N36" s="362" t="str">
        <f>IFERROR(IF(B36="","",INDEX('G-6 Hedgerow Data'!$AN$3:$AZ$15,MATCH(C36,'G-6 Hedgerow Data'!$AM$3:$AM$15,0),MATCH(M36,'G-6 Hedgerow Data'!$AN$2:$AZ$2,0))),"")</f>
        <v/>
      </c>
      <c r="O36" s="363" t="str">
        <f t="shared" si="2"/>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70" t="str">
        <f t="shared" si="5"/>
        <v/>
      </c>
      <c r="AF36" s="370" t="str">
        <f t="shared" si="6"/>
        <v/>
      </c>
      <c r="AG36" s="386" t="str">
        <f>IFERROR(IF(O36="","",VLOOKUP(AD36,'G-3 Multipliers'!$P$3:$Q$6,2,FALSE)),"")</f>
        <v/>
      </c>
      <c r="AH36" s="376" t="str">
        <f t="shared" si="7"/>
        <v/>
      </c>
      <c r="AI36" s="188"/>
      <c r="AJ36" s="118"/>
      <c r="AK36" s="120"/>
      <c r="AT36" s="30" t="str">
        <f>IFERROR(INDEX('G-6 Hedgerow Data'!$BJ$3:$BJ$15,MATCH(M36,'G-6 Hedgerow Data'!$B$3:$B$15,0)),"")</f>
        <v/>
      </c>
    </row>
    <row r="37" spans="2:46" ht="13.8" x14ac:dyDescent="0.25">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0"/>
        <v/>
      </c>
      <c r="N37" s="362" t="str">
        <f>IFERROR(IF(B37="","",INDEX('G-6 Hedgerow Data'!$AN$3:$AZ$15,MATCH(C37,'G-6 Hedgerow Data'!$AM$3:$AM$15,0),MATCH(M37,'G-6 Hedgerow Data'!$AN$2:$AZ$2,0))),"")</f>
        <v/>
      </c>
      <c r="O37" s="363" t="str">
        <f t="shared" si="2"/>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70" t="str">
        <f t="shared" si="5"/>
        <v/>
      </c>
      <c r="AF37" s="370" t="str">
        <f t="shared" si="6"/>
        <v/>
      </c>
      <c r="AG37" s="386" t="str">
        <f>IFERROR(IF(O37="","",VLOOKUP(AD37,'G-3 Multipliers'!$P$3:$Q$6,2,FALSE)),"")</f>
        <v/>
      </c>
      <c r="AH37" s="376" t="str">
        <f t="shared" si="7"/>
        <v/>
      </c>
      <c r="AI37" s="188"/>
      <c r="AJ37" s="118"/>
      <c r="AK37" s="120"/>
      <c r="AT37" s="30" t="str">
        <f>IFERROR(INDEX('G-6 Hedgerow Data'!$BJ$3:$BJ$15,MATCH(M37,'G-6 Hedgerow Data'!$B$3:$B$15,0)),"")</f>
        <v/>
      </c>
    </row>
    <row r="38" spans="2:46" ht="13.8" x14ac:dyDescent="0.25">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0"/>
        <v/>
      </c>
      <c r="N38" s="362" t="str">
        <f>IFERROR(IF(B38="","",INDEX('G-6 Hedgerow Data'!$AN$3:$AZ$15,MATCH(C38,'G-6 Hedgerow Data'!$AM$3:$AM$15,0),MATCH(M38,'G-6 Hedgerow Data'!$AN$2:$AZ$2,0))),"")</f>
        <v/>
      </c>
      <c r="O38" s="363" t="str">
        <f t="shared" si="2"/>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70" t="str">
        <f t="shared" si="5"/>
        <v/>
      </c>
      <c r="AF38" s="370" t="str">
        <f t="shared" si="6"/>
        <v/>
      </c>
      <c r="AG38" s="386" t="str">
        <f>IFERROR(IF(O38="","",VLOOKUP(AD38,'G-3 Multipliers'!$P$3:$Q$6,2,FALSE)),"")</f>
        <v/>
      </c>
      <c r="AH38" s="376" t="str">
        <f t="shared" si="7"/>
        <v/>
      </c>
      <c r="AI38" s="188"/>
      <c r="AJ38" s="118"/>
      <c r="AK38" s="120"/>
      <c r="AT38" s="30" t="str">
        <f>IFERROR(INDEX('G-6 Hedgerow Data'!$BJ$3:$BJ$15,MATCH(M38,'G-6 Hedgerow Data'!$B$3:$B$15,0)),"")</f>
        <v/>
      </c>
    </row>
    <row r="39" spans="2:46" ht="13.8" x14ac:dyDescent="0.25">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0"/>
        <v/>
      </c>
      <c r="N39" s="362" t="str">
        <f>IFERROR(IF(B39="","",INDEX('G-6 Hedgerow Data'!$AN$3:$AZ$15,MATCH(C39,'G-6 Hedgerow Data'!$AM$3:$AM$15,0),MATCH(M39,'G-6 Hedgerow Data'!$AN$2:$AZ$2,0))),"")</f>
        <v/>
      </c>
      <c r="O39" s="363" t="str">
        <f t="shared" si="2"/>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70" t="str">
        <f t="shared" si="5"/>
        <v/>
      </c>
      <c r="AF39" s="370" t="str">
        <f t="shared" si="6"/>
        <v/>
      </c>
      <c r="AG39" s="386" t="str">
        <f>IFERROR(IF(O39="","",VLOOKUP(AD39,'G-3 Multipliers'!$P$3:$Q$6,2,FALSE)),"")</f>
        <v/>
      </c>
      <c r="AH39" s="376" t="str">
        <f t="shared" si="7"/>
        <v/>
      </c>
      <c r="AI39" s="188"/>
      <c r="AJ39" s="118"/>
      <c r="AK39" s="120"/>
      <c r="AT39" s="30" t="str">
        <f>IFERROR(INDEX('G-6 Hedgerow Data'!$BJ$3:$BJ$15,MATCH(M39,'G-6 Hedgerow Data'!$B$3:$B$15,0)),"")</f>
        <v/>
      </c>
    </row>
    <row r="40" spans="2:46" ht="13.8" x14ac:dyDescent="0.25">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0"/>
        <v/>
      </c>
      <c r="N40" s="362" t="str">
        <f>IFERROR(IF(B40="","",INDEX('G-6 Hedgerow Data'!$AN$3:$AZ$15,MATCH(C40,'G-6 Hedgerow Data'!$AM$3:$AM$15,0),MATCH(M40,'G-6 Hedgerow Data'!$AN$2:$AZ$2,0))),"")</f>
        <v/>
      </c>
      <c r="O40" s="363" t="str">
        <f t="shared" si="2"/>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70" t="str">
        <f t="shared" si="5"/>
        <v/>
      </c>
      <c r="AF40" s="370" t="str">
        <f t="shared" si="6"/>
        <v/>
      </c>
      <c r="AG40" s="386" t="str">
        <f>IFERROR(IF(O40="","",VLOOKUP(AD40,'G-3 Multipliers'!$P$3:$Q$6,2,FALSE)),"")</f>
        <v/>
      </c>
      <c r="AH40" s="376" t="str">
        <f t="shared" si="7"/>
        <v/>
      </c>
      <c r="AI40" s="188"/>
      <c r="AJ40" s="118"/>
      <c r="AK40" s="120"/>
      <c r="AT40" s="30" t="str">
        <f>IFERROR(INDEX('G-6 Hedgerow Data'!$BJ$3:$BJ$15,MATCH(M40,'G-6 Hedgerow Data'!$B$3:$B$15,0)),"")</f>
        <v/>
      </c>
    </row>
    <row r="41" spans="2:46" ht="13.8" x14ac:dyDescent="0.25">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0"/>
        <v/>
      </c>
      <c r="N41" s="362" t="str">
        <f>IFERROR(IF(B41="","",INDEX('G-6 Hedgerow Data'!$AN$3:$AZ$15,MATCH(C41,'G-6 Hedgerow Data'!$AM$3:$AM$15,0),MATCH(M41,'G-6 Hedgerow Data'!$AN$2:$AZ$2,0))),"")</f>
        <v/>
      </c>
      <c r="O41" s="363" t="str">
        <f t="shared" si="2"/>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70" t="str">
        <f t="shared" si="5"/>
        <v/>
      </c>
      <c r="AF41" s="370" t="str">
        <f t="shared" si="6"/>
        <v/>
      </c>
      <c r="AG41" s="386" t="str">
        <f>IFERROR(IF(O41="","",VLOOKUP(AD41,'G-3 Multipliers'!$P$3:$Q$6,2,FALSE)),"")</f>
        <v/>
      </c>
      <c r="AH41" s="376" t="str">
        <f t="shared" si="7"/>
        <v/>
      </c>
      <c r="AI41" s="188"/>
      <c r="AJ41" s="118"/>
      <c r="AK41" s="120"/>
      <c r="AT41" s="30" t="str">
        <f>IFERROR(INDEX('G-6 Hedgerow Data'!$BJ$3:$BJ$15,MATCH(M41,'G-6 Hedgerow Data'!$B$3:$B$15,0)),"")</f>
        <v/>
      </c>
    </row>
    <row r="42" spans="2:46" ht="13.8" x14ac:dyDescent="0.25">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0"/>
        <v/>
      </c>
      <c r="N42" s="362" t="str">
        <f>IFERROR(IF(B42="","",INDEX('G-6 Hedgerow Data'!$AN$3:$AZ$15,MATCH(C42,'G-6 Hedgerow Data'!$AM$3:$AM$15,0),MATCH(M42,'G-6 Hedgerow Data'!$AN$2:$AZ$2,0))),"")</f>
        <v/>
      </c>
      <c r="O42" s="363" t="str">
        <f t="shared" si="2"/>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70" t="str">
        <f t="shared" si="5"/>
        <v/>
      </c>
      <c r="AF42" s="370" t="str">
        <f t="shared" si="6"/>
        <v/>
      </c>
      <c r="AG42" s="386" t="str">
        <f>IFERROR(IF(O42="","",VLOOKUP(AD42,'G-3 Multipliers'!$P$3:$Q$6,2,FALSE)),"")</f>
        <v/>
      </c>
      <c r="AH42" s="376" t="str">
        <f t="shared" si="7"/>
        <v/>
      </c>
      <c r="AI42" s="188"/>
      <c r="AJ42" s="118"/>
      <c r="AK42" s="120"/>
      <c r="AT42" s="30" t="str">
        <f>IFERROR(INDEX('G-6 Hedgerow Data'!$BJ$3:$BJ$15,MATCH(M42,'G-6 Hedgerow Data'!$B$3:$B$15,0)),"")</f>
        <v/>
      </c>
    </row>
    <row r="43" spans="2:46" ht="13.8" x14ac:dyDescent="0.25">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0"/>
        <v/>
      </c>
      <c r="N43" s="362" t="str">
        <f>IFERROR(IF(B43="","",INDEX('G-6 Hedgerow Data'!$AN$3:$AZ$15,MATCH(C43,'G-6 Hedgerow Data'!$AM$3:$AM$15,0),MATCH(M43,'G-6 Hedgerow Data'!$AN$2:$AZ$2,0))),"")</f>
        <v/>
      </c>
      <c r="O43" s="363" t="str">
        <f t="shared" si="2"/>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70" t="str">
        <f t="shared" si="5"/>
        <v/>
      </c>
      <c r="AF43" s="370" t="str">
        <f t="shared" si="6"/>
        <v/>
      </c>
      <c r="AG43" s="386" t="str">
        <f>IFERROR(IF(O43="","",VLOOKUP(AD43,'G-3 Multipliers'!$P$3:$Q$6,2,FALSE)),"")</f>
        <v/>
      </c>
      <c r="AH43" s="376" t="str">
        <f t="shared" si="7"/>
        <v/>
      </c>
      <c r="AI43" s="188"/>
      <c r="AJ43" s="118"/>
      <c r="AK43" s="120"/>
      <c r="AT43" s="30" t="str">
        <f>IFERROR(INDEX('G-6 Hedgerow Data'!$BJ$3:$BJ$15,MATCH(M43,'G-6 Hedgerow Data'!$B$3:$B$15,0)),"")</f>
        <v/>
      </c>
    </row>
    <row r="44" spans="2:46" ht="13.8" x14ac:dyDescent="0.25">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0"/>
        <v/>
      </c>
      <c r="N44" s="362" t="str">
        <f>IFERROR(IF(B44="","",INDEX('G-6 Hedgerow Data'!$AN$3:$AZ$15,MATCH(C44,'G-6 Hedgerow Data'!$AM$3:$AM$15,0),MATCH(M44,'G-6 Hedgerow Data'!$AN$2:$AZ$2,0))),"")</f>
        <v/>
      </c>
      <c r="O44" s="363" t="str">
        <f t="shared" si="2"/>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70" t="str">
        <f t="shared" si="5"/>
        <v/>
      </c>
      <c r="AF44" s="370" t="str">
        <f t="shared" si="6"/>
        <v/>
      </c>
      <c r="AG44" s="386" t="str">
        <f>IFERROR(IF(O44="","",VLOOKUP(AD44,'G-3 Multipliers'!$P$3:$Q$6,2,FALSE)),"")</f>
        <v/>
      </c>
      <c r="AH44" s="376" t="str">
        <f t="shared" si="7"/>
        <v/>
      </c>
      <c r="AI44" s="188"/>
      <c r="AJ44" s="118"/>
      <c r="AK44" s="120"/>
      <c r="AT44" s="30" t="str">
        <f>IFERROR(INDEX('G-6 Hedgerow Data'!$BJ$3:$BJ$15,MATCH(M44,'G-6 Hedgerow Data'!$B$3:$B$15,0)),"")</f>
        <v/>
      </c>
    </row>
    <row r="45" spans="2:46" ht="13.8" x14ac:dyDescent="0.25">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0"/>
        <v/>
      </c>
      <c r="N45" s="362" t="str">
        <f>IFERROR(IF(B45="","",INDEX('G-6 Hedgerow Data'!$AN$3:$AZ$15,MATCH(C45,'G-6 Hedgerow Data'!$AM$3:$AM$15,0),MATCH(M45,'G-6 Hedgerow Data'!$AN$2:$AZ$2,0))),"")</f>
        <v/>
      </c>
      <c r="O45" s="363" t="str">
        <f t="shared" si="2"/>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70" t="str">
        <f t="shared" si="5"/>
        <v/>
      </c>
      <c r="AF45" s="370" t="str">
        <f t="shared" si="6"/>
        <v/>
      </c>
      <c r="AG45" s="386" t="str">
        <f>IFERROR(IF(O45="","",VLOOKUP(AD45,'G-3 Multipliers'!$P$3:$Q$6,2,FALSE)),"")</f>
        <v/>
      </c>
      <c r="AH45" s="376" t="str">
        <f t="shared" si="7"/>
        <v/>
      </c>
      <c r="AI45" s="188"/>
      <c r="AJ45" s="118"/>
      <c r="AK45" s="120"/>
      <c r="AT45" s="30" t="str">
        <f>IFERROR(INDEX('G-6 Hedgerow Data'!$BJ$3:$BJ$15,MATCH(M45,'G-6 Hedgerow Data'!$B$3:$B$15,0)),"")</f>
        <v/>
      </c>
    </row>
    <row r="46" spans="2:46" ht="13.8" x14ac:dyDescent="0.25">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0"/>
        <v/>
      </c>
      <c r="N46" s="362" t="str">
        <f>IFERROR(IF(B46="","",INDEX('G-6 Hedgerow Data'!$AN$3:$AZ$15,MATCH(C46,'G-6 Hedgerow Data'!$AM$3:$AM$15,0),MATCH(M46,'G-6 Hedgerow Data'!$AN$2:$AZ$2,0))),"")</f>
        <v/>
      </c>
      <c r="O46" s="363" t="str">
        <f t="shared" si="2"/>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70" t="str">
        <f t="shared" si="5"/>
        <v/>
      </c>
      <c r="AF46" s="370" t="str">
        <f t="shared" si="6"/>
        <v/>
      </c>
      <c r="AG46" s="386" t="str">
        <f>IFERROR(IF(O46="","",VLOOKUP(AD46,'G-3 Multipliers'!$P$3:$Q$6,2,FALSE)),"")</f>
        <v/>
      </c>
      <c r="AH46" s="376" t="str">
        <f t="shared" si="7"/>
        <v/>
      </c>
      <c r="AI46" s="188"/>
      <c r="AJ46" s="118"/>
      <c r="AK46" s="120"/>
      <c r="AT46" s="30" t="str">
        <f>IFERROR(INDEX('G-6 Hedgerow Data'!$BJ$3:$BJ$15,MATCH(M46,'G-6 Hedgerow Data'!$B$3:$B$15,0)),"")</f>
        <v/>
      </c>
    </row>
    <row r="47" spans="2:46" ht="13.8" x14ac:dyDescent="0.25">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0"/>
        <v/>
      </c>
      <c r="N47" s="362" t="str">
        <f>IFERROR(IF(B47="","",INDEX('G-6 Hedgerow Data'!$AN$3:$AZ$15,MATCH(C47,'G-6 Hedgerow Data'!$AM$3:$AM$15,0),MATCH(M47,'G-6 Hedgerow Data'!$AN$2:$AZ$2,0))),"")</f>
        <v/>
      </c>
      <c r="O47" s="363" t="str">
        <f t="shared" si="2"/>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70" t="str">
        <f t="shared" si="5"/>
        <v/>
      </c>
      <c r="AF47" s="370" t="str">
        <f t="shared" si="6"/>
        <v/>
      </c>
      <c r="AG47" s="386" t="str">
        <f>IFERROR(IF(O47="","",VLOOKUP(AD47,'G-3 Multipliers'!$P$3:$Q$6,2,FALSE)),"")</f>
        <v/>
      </c>
      <c r="AH47" s="376" t="str">
        <f t="shared" si="7"/>
        <v/>
      </c>
      <c r="AI47" s="188"/>
      <c r="AJ47" s="118"/>
      <c r="AK47" s="120"/>
      <c r="AT47" s="30" t="str">
        <f>IFERROR(INDEX('G-6 Hedgerow Data'!$BJ$3:$BJ$15,MATCH(M47,'G-6 Hedgerow Data'!$B$3:$B$15,0)),"")</f>
        <v/>
      </c>
    </row>
    <row r="48" spans="2:46" ht="13.8" x14ac:dyDescent="0.25">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0"/>
        <v/>
      </c>
      <c r="N48" s="362" t="str">
        <f>IFERROR(IF(B48="","",INDEX('G-6 Hedgerow Data'!$AN$3:$AZ$15,MATCH(C48,'G-6 Hedgerow Data'!$AM$3:$AM$15,0),MATCH(M48,'G-6 Hedgerow Data'!$AN$2:$AZ$2,0))),"")</f>
        <v/>
      </c>
      <c r="O48" s="363" t="str">
        <f t="shared" si="2"/>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70" t="str">
        <f t="shared" si="5"/>
        <v/>
      </c>
      <c r="AF48" s="370" t="str">
        <f t="shared" si="6"/>
        <v/>
      </c>
      <c r="AG48" s="386" t="str">
        <f>IFERROR(IF(O48="","",VLOOKUP(AD48,'G-3 Multipliers'!$P$3:$Q$6,2,FALSE)),"")</f>
        <v/>
      </c>
      <c r="AH48" s="376" t="str">
        <f t="shared" si="7"/>
        <v/>
      </c>
      <c r="AI48" s="188"/>
      <c r="AJ48" s="118"/>
      <c r="AK48" s="120"/>
      <c r="AT48" s="30" t="str">
        <f>IFERROR(INDEX('G-6 Hedgerow Data'!$BJ$3:$BJ$15,MATCH(M48,'G-6 Hedgerow Data'!$B$3:$B$15,0)),"")</f>
        <v/>
      </c>
    </row>
    <row r="49" spans="2:46" ht="13.8" x14ac:dyDescent="0.25">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0"/>
        <v/>
      </c>
      <c r="N49" s="362" t="str">
        <f>IFERROR(IF(B49="","",INDEX('G-6 Hedgerow Data'!$AN$3:$AZ$15,MATCH(C49,'G-6 Hedgerow Data'!$AM$3:$AM$15,0),MATCH(M49,'G-6 Hedgerow Data'!$AN$2:$AZ$2,0))),"")</f>
        <v/>
      </c>
      <c r="O49" s="363" t="str">
        <f t="shared" si="2"/>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70" t="str">
        <f t="shared" si="5"/>
        <v/>
      </c>
      <c r="AF49" s="370" t="str">
        <f t="shared" si="6"/>
        <v/>
      </c>
      <c r="AG49" s="386" t="str">
        <f>IFERROR(IF(O49="","",VLOOKUP(AD49,'G-3 Multipliers'!$P$3:$Q$6,2,FALSE)),"")</f>
        <v/>
      </c>
      <c r="AH49" s="376" t="str">
        <f t="shared" si="7"/>
        <v/>
      </c>
      <c r="AI49" s="188"/>
      <c r="AJ49" s="118"/>
      <c r="AK49" s="120"/>
      <c r="AT49" s="30" t="str">
        <f>IFERROR(INDEX('G-6 Hedgerow Data'!$BJ$3:$BJ$15,MATCH(M49,'G-6 Hedgerow Data'!$B$3:$B$15,0)),"")</f>
        <v/>
      </c>
    </row>
    <row r="50" spans="2:46" ht="13.8" x14ac:dyDescent="0.25">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0"/>
        <v/>
      </c>
      <c r="N50" s="362" t="str">
        <f>IFERROR(IF(B50="","",INDEX('G-6 Hedgerow Data'!$AN$3:$AZ$15,MATCH(C50,'G-6 Hedgerow Data'!$AM$3:$AM$15,0),MATCH(M50,'G-6 Hedgerow Data'!$AN$2:$AZ$2,0))),"")</f>
        <v/>
      </c>
      <c r="O50" s="363" t="str">
        <f t="shared" si="2"/>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70" t="str">
        <f t="shared" si="5"/>
        <v/>
      </c>
      <c r="AF50" s="370" t="str">
        <f t="shared" si="6"/>
        <v/>
      </c>
      <c r="AG50" s="386" t="str">
        <f>IFERROR(IF(O50="","",VLOOKUP(AD50,'G-3 Multipliers'!$P$3:$Q$6,2,FALSE)),"")</f>
        <v/>
      </c>
      <c r="AH50" s="376" t="str">
        <f t="shared" si="7"/>
        <v/>
      </c>
      <c r="AI50" s="188"/>
      <c r="AJ50" s="118"/>
      <c r="AK50" s="120"/>
      <c r="AT50" s="30" t="str">
        <f>IFERROR(INDEX('G-6 Hedgerow Data'!$BJ$3:$BJ$15,MATCH(M50,'G-6 Hedgerow Data'!$B$3:$B$15,0)),"")</f>
        <v/>
      </c>
    </row>
    <row r="51" spans="2:46" ht="13.8" x14ac:dyDescent="0.25">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0"/>
        <v/>
      </c>
      <c r="N51" s="362" t="str">
        <f>IFERROR(IF(B51="","",INDEX('G-6 Hedgerow Data'!$AN$3:$AZ$15,MATCH(C51,'G-6 Hedgerow Data'!$AM$3:$AM$15,0),MATCH(M51,'G-6 Hedgerow Data'!$AN$2:$AZ$2,0))),"")</f>
        <v/>
      </c>
      <c r="O51" s="363" t="str">
        <f t="shared" si="2"/>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70" t="str">
        <f t="shared" si="5"/>
        <v/>
      </c>
      <c r="AF51" s="370" t="str">
        <f t="shared" si="6"/>
        <v/>
      </c>
      <c r="AG51" s="386" t="str">
        <f>IFERROR(IF(O51="","",VLOOKUP(AD51,'G-3 Multipliers'!$P$3:$Q$6,2,FALSE)),"")</f>
        <v/>
      </c>
      <c r="AH51" s="376" t="str">
        <f t="shared" si="7"/>
        <v/>
      </c>
      <c r="AI51" s="188"/>
      <c r="AJ51" s="118"/>
      <c r="AK51" s="120"/>
      <c r="AT51" s="30" t="str">
        <f>IFERROR(INDEX('G-6 Hedgerow Data'!$BJ$3:$BJ$15,MATCH(M51,'G-6 Hedgerow Data'!$B$3:$B$15,0)),"")</f>
        <v/>
      </c>
    </row>
    <row r="52" spans="2:46" ht="13.8" x14ac:dyDescent="0.25">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0"/>
        <v/>
      </c>
      <c r="N52" s="362" t="str">
        <f>IFERROR(IF(B52="","",INDEX('G-6 Hedgerow Data'!$AN$3:$AZ$15,MATCH(C52,'G-6 Hedgerow Data'!$AM$3:$AM$15,0),MATCH(M52,'G-6 Hedgerow Data'!$AN$2:$AZ$2,0))),"")</f>
        <v/>
      </c>
      <c r="O52" s="363" t="str">
        <f t="shared" si="2"/>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70" t="str">
        <f t="shared" si="5"/>
        <v/>
      </c>
      <c r="AF52" s="370" t="str">
        <f t="shared" si="6"/>
        <v/>
      </c>
      <c r="AG52" s="386" t="str">
        <f>IFERROR(IF(O52="","",VLOOKUP(AD52,'G-3 Multipliers'!$P$3:$Q$6,2,FALSE)),"")</f>
        <v/>
      </c>
      <c r="AH52" s="376" t="str">
        <f t="shared" si="7"/>
        <v/>
      </c>
      <c r="AI52" s="188"/>
      <c r="AJ52" s="118"/>
      <c r="AK52" s="120"/>
      <c r="AT52" s="30" t="str">
        <f>IFERROR(INDEX('G-6 Hedgerow Data'!$BJ$3:$BJ$15,MATCH(M52,'G-6 Hedgerow Data'!$B$3:$B$15,0)),"")</f>
        <v/>
      </c>
    </row>
    <row r="53" spans="2:46" ht="13.8" x14ac:dyDescent="0.25">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0"/>
        <v/>
      </c>
      <c r="N53" s="362" t="str">
        <f>IFERROR(IF(B53="","",INDEX('G-6 Hedgerow Data'!$AN$3:$AZ$15,MATCH(C53,'G-6 Hedgerow Data'!$AM$3:$AM$15,0),MATCH(M53,'G-6 Hedgerow Data'!$AN$2:$AZ$2,0))),"")</f>
        <v/>
      </c>
      <c r="O53" s="363" t="str">
        <f t="shared" si="2"/>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70" t="str">
        <f t="shared" si="5"/>
        <v/>
      </c>
      <c r="AF53" s="370" t="str">
        <f t="shared" si="6"/>
        <v/>
      </c>
      <c r="AG53" s="386" t="str">
        <f>IFERROR(IF(O53="","",VLOOKUP(AD53,'G-3 Multipliers'!$P$3:$Q$6,2,FALSE)),"")</f>
        <v/>
      </c>
      <c r="AH53" s="376" t="str">
        <f t="shared" si="7"/>
        <v/>
      </c>
      <c r="AI53" s="188"/>
      <c r="AJ53" s="118"/>
      <c r="AK53" s="120"/>
      <c r="AT53" s="30" t="str">
        <f>IFERROR(INDEX('G-6 Hedgerow Data'!$BJ$3:$BJ$15,MATCH(M53,'G-6 Hedgerow Data'!$B$3:$B$15,0)),"")</f>
        <v/>
      </c>
    </row>
    <row r="54" spans="2:46" ht="13.8" x14ac:dyDescent="0.25">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0"/>
        <v/>
      </c>
      <c r="N54" s="362" t="str">
        <f>IFERROR(IF(B54="","",INDEX('G-6 Hedgerow Data'!$AN$3:$AZ$15,MATCH(C54,'G-6 Hedgerow Data'!$AM$3:$AM$15,0),MATCH(M54,'G-6 Hedgerow Data'!$AN$2:$AZ$2,0))),"")</f>
        <v/>
      </c>
      <c r="O54" s="363" t="str">
        <f t="shared" si="2"/>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70" t="str">
        <f t="shared" si="5"/>
        <v/>
      </c>
      <c r="AF54" s="370" t="str">
        <f t="shared" si="6"/>
        <v/>
      </c>
      <c r="AG54" s="386" t="str">
        <f>IFERROR(IF(O54="","",VLOOKUP(AD54,'G-3 Multipliers'!$P$3:$Q$6,2,FALSE)),"")</f>
        <v/>
      </c>
      <c r="AH54" s="376" t="str">
        <f t="shared" si="7"/>
        <v/>
      </c>
      <c r="AI54" s="188"/>
      <c r="AJ54" s="118"/>
      <c r="AK54" s="120"/>
      <c r="AT54" s="30" t="str">
        <f>IFERROR(INDEX('G-6 Hedgerow Data'!$BJ$3:$BJ$15,MATCH(M54,'G-6 Hedgerow Data'!$B$3:$B$15,0)),"")</f>
        <v/>
      </c>
    </row>
    <row r="55" spans="2:46" ht="13.8" x14ac:dyDescent="0.25">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0"/>
        <v/>
      </c>
      <c r="N55" s="362" t="str">
        <f>IFERROR(IF(B55="","",INDEX('G-6 Hedgerow Data'!$AN$3:$AZ$15,MATCH(C55,'G-6 Hedgerow Data'!$AM$3:$AM$15,0),MATCH(M55,'G-6 Hedgerow Data'!$AN$2:$AZ$2,0))),"")</f>
        <v/>
      </c>
      <c r="O55" s="363" t="str">
        <f t="shared" si="2"/>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70" t="str">
        <f t="shared" si="5"/>
        <v/>
      </c>
      <c r="AF55" s="370" t="str">
        <f t="shared" si="6"/>
        <v/>
      </c>
      <c r="AG55" s="386" t="str">
        <f>IFERROR(IF(O55="","",VLOOKUP(AD55,'G-3 Multipliers'!$P$3:$Q$6,2,FALSE)),"")</f>
        <v/>
      </c>
      <c r="AH55" s="376" t="str">
        <f t="shared" si="7"/>
        <v/>
      </c>
      <c r="AI55" s="188"/>
      <c r="AJ55" s="118"/>
      <c r="AK55" s="120"/>
      <c r="AT55" s="30" t="str">
        <f>IFERROR(INDEX('G-6 Hedgerow Data'!$BJ$3:$BJ$15,MATCH(M55,'G-6 Hedgerow Data'!$B$3:$B$15,0)),"")</f>
        <v/>
      </c>
    </row>
    <row r="56" spans="2:46" ht="13.8" x14ac:dyDescent="0.25">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0"/>
        <v/>
      </c>
      <c r="N56" s="362" t="str">
        <f>IFERROR(IF(B56="","",INDEX('G-6 Hedgerow Data'!$AN$3:$AZ$15,MATCH(C56,'G-6 Hedgerow Data'!$AM$3:$AM$15,0),MATCH(M56,'G-6 Hedgerow Data'!$AN$2:$AZ$2,0))),"")</f>
        <v/>
      </c>
      <c r="O56" s="363" t="str">
        <f t="shared" si="2"/>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70" t="str">
        <f t="shared" si="5"/>
        <v/>
      </c>
      <c r="AF56" s="370" t="str">
        <f t="shared" si="6"/>
        <v/>
      </c>
      <c r="AG56" s="386" t="str">
        <f>IFERROR(IF(O56="","",VLOOKUP(AD56,'G-3 Multipliers'!$P$3:$Q$6,2,FALSE)),"")</f>
        <v/>
      </c>
      <c r="AH56" s="376" t="str">
        <f t="shared" si="7"/>
        <v/>
      </c>
      <c r="AI56" s="188"/>
      <c r="AJ56" s="118"/>
      <c r="AK56" s="120"/>
      <c r="AT56" s="30" t="str">
        <f>IFERROR(INDEX('G-6 Hedgerow Data'!$BJ$3:$BJ$15,MATCH(M56,'G-6 Hedgerow Data'!$B$3:$B$15,0)),"")</f>
        <v/>
      </c>
    </row>
    <row r="57" spans="2:46" ht="13.8" x14ac:dyDescent="0.25">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0"/>
        <v/>
      </c>
      <c r="N57" s="362" t="str">
        <f>IFERROR(IF(B57="","",INDEX('G-6 Hedgerow Data'!$AN$3:$AZ$15,MATCH(C57,'G-6 Hedgerow Data'!$AM$3:$AM$15,0),MATCH(M57,'G-6 Hedgerow Data'!$AN$2:$AZ$2,0))),"")</f>
        <v/>
      </c>
      <c r="O57" s="363" t="str">
        <f t="shared" si="2"/>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70" t="str">
        <f t="shared" si="5"/>
        <v/>
      </c>
      <c r="AF57" s="370" t="str">
        <f t="shared" si="6"/>
        <v/>
      </c>
      <c r="AG57" s="386" t="str">
        <f>IFERROR(IF(O57="","",VLOOKUP(AD57,'G-3 Multipliers'!$P$3:$Q$6,2,FALSE)),"")</f>
        <v/>
      </c>
      <c r="AH57" s="376" t="str">
        <f t="shared" si="7"/>
        <v/>
      </c>
      <c r="AI57" s="188"/>
      <c r="AJ57" s="118"/>
      <c r="AK57" s="120"/>
      <c r="AT57" s="30" t="str">
        <f>IFERROR(INDEX('G-6 Hedgerow Data'!$BJ$3:$BJ$15,MATCH(M57,'G-6 Hedgerow Data'!$B$3:$B$15,0)),"")</f>
        <v/>
      </c>
    </row>
    <row r="58" spans="2:46" ht="13.8" x14ac:dyDescent="0.25">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0"/>
        <v/>
      </c>
      <c r="N58" s="362" t="str">
        <f>IFERROR(IF(B58="","",INDEX('G-6 Hedgerow Data'!$AN$3:$AZ$15,MATCH(C58,'G-6 Hedgerow Data'!$AM$3:$AM$15,0),MATCH(M58,'G-6 Hedgerow Data'!$AN$2:$AZ$2,0))),"")</f>
        <v/>
      </c>
      <c r="O58" s="363" t="str">
        <f t="shared" si="2"/>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70" t="str">
        <f t="shared" si="5"/>
        <v/>
      </c>
      <c r="AF58" s="370" t="str">
        <f t="shared" si="6"/>
        <v/>
      </c>
      <c r="AG58" s="386" t="str">
        <f>IFERROR(IF(O58="","",VLOOKUP(AD58,'G-3 Multipliers'!$P$3:$Q$6,2,FALSE)),"")</f>
        <v/>
      </c>
      <c r="AH58" s="376" t="str">
        <f t="shared" si="7"/>
        <v/>
      </c>
      <c r="AI58" s="188"/>
      <c r="AJ58" s="118"/>
      <c r="AK58" s="120"/>
      <c r="AT58" s="30" t="str">
        <f>IFERROR(INDEX('G-6 Hedgerow Data'!$BJ$3:$BJ$15,MATCH(M58,'G-6 Hedgerow Data'!$B$3:$B$15,0)),"")</f>
        <v/>
      </c>
    </row>
    <row r="59" spans="2:46" ht="13.8" x14ac:dyDescent="0.25">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0"/>
        <v/>
      </c>
      <c r="N59" s="362" t="str">
        <f>IFERROR(IF(B59="","",INDEX('G-6 Hedgerow Data'!$AN$3:$AZ$15,MATCH(C59,'G-6 Hedgerow Data'!$AM$3:$AM$15,0),MATCH(M59,'G-6 Hedgerow Data'!$AN$2:$AZ$2,0))),"")</f>
        <v/>
      </c>
      <c r="O59" s="363" t="str">
        <f t="shared" si="2"/>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70" t="str">
        <f t="shared" si="5"/>
        <v/>
      </c>
      <c r="AF59" s="370" t="str">
        <f t="shared" si="6"/>
        <v/>
      </c>
      <c r="AG59" s="386" t="str">
        <f>IFERROR(IF(O59="","",VLOOKUP(AD59,'G-3 Multipliers'!$P$3:$Q$6,2,FALSE)),"")</f>
        <v/>
      </c>
      <c r="AH59" s="376" t="str">
        <f t="shared" si="7"/>
        <v/>
      </c>
      <c r="AI59" s="188"/>
      <c r="AJ59" s="118"/>
      <c r="AK59" s="120"/>
      <c r="AT59" s="30" t="str">
        <f>IFERROR(INDEX('G-6 Hedgerow Data'!$BJ$3:$BJ$15,MATCH(M59,'G-6 Hedgerow Data'!$B$3:$B$15,0)),"")</f>
        <v/>
      </c>
    </row>
    <row r="60" spans="2:46" ht="13.8" x14ac:dyDescent="0.25">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0"/>
        <v/>
      </c>
      <c r="N60" s="362" t="str">
        <f>IFERROR(IF(B60="","",INDEX('G-6 Hedgerow Data'!$AN$3:$AZ$15,MATCH(C60,'G-6 Hedgerow Data'!$AM$3:$AM$15,0),MATCH(M60,'G-6 Hedgerow Data'!$AN$2:$AZ$2,0))),"")</f>
        <v/>
      </c>
      <c r="O60" s="363" t="str">
        <f t="shared" si="2"/>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70" t="str">
        <f t="shared" si="5"/>
        <v/>
      </c>
      <c r="AF60" s="370" t="str">
        <f t="shared" si="6"/>
        <v/>
      </c>
      <c r="AG60" s="386" t="str">
        <f>IFERROR(IF(O60="","",VLOOKUP(AD60,'G-3 Multipliers'!$P$3:$Q$6,2,FALSE)),"")</f>
        <v/>
      </c>
      <c r="AH60" s="376" t="str">
        <f t="shared" si="7"/>
        <v/>
      </c>
      <c r="AI60" s="188"/>
      <c r="AJ60" s="118"/>
      <c r="AK60" s="120"/>
      <c r="AT60" s="30" t="str">
        <f>IFERROR(INDEX('G-6 Hedgerow Data'!$BJ$3:$BJ$15,MATCH(M60,'G-6 Hedgerow Data'!$B$3:$B$15,0)),"")</f>
        <v/>
      </c>
    </row>
    <row r="61" spans="2:46" ht="13.8" x14ac:dyDescent="0.25">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0"/>
        <v/>
      </c>
      <c r="N61" s="362" t="str">
        <f>IFERROR(IF(B61="","",INDEX('G-6 Hedgerow Data'!$AN$3:$AZ$15,MATCH(C61,'G-6 Hedgerow Data'!$AM$3:$AM$15,0),MATCH(M61,'G-6 Hedgerow Data'!$AN$2:$AZ$2,0))),"")</f>
        <v/>
      </c>
      <c r="O61" s="363" t="str">
        <f t="shared" si="2"/>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70" t="str">
        <f t="shared" si="5"/>
        <v/>
      </c>
      <c r="AF61" s="370" t="str">
        <f t="shared" si="6"/>
        <v/>
      </c>
      <c r="AG61" s="386" t="str">
        <f>IFERROR(IF(O61="","",VLOOKUP(AD61,'G-3 Multipliers'!$P$3:$Q$6,2,FALSE)),"")</f>
        <v/>
      </c>
      <c r="AH61" s="376" t="str">
        <f t="shared" si="7"/>
        <v/>
      </c>
      <c r="AI61" s="188"/>
      <c r="AJ61" s="118"/>
      <c r="AK61" s="120"/>
      <c r="AT61" s="30" t="str">
        <f>IFERROR(INDEX('G-6 Hedgerow Data'!$BJ$3:$BJ$15,MATCH(M61,'G-6 Hedgerow Data'!$B$3:$B$15,0)),"")</f>
        <v/>
      </c>
    </row>
    <row r="62" spans="2:46" ht="13.8" x14ac:dyDescent="0.25">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0"/>
        <v/>
      </c>
      <c r="N62" s="362" t="str">
        <f>IFERROR(IF(B62="","",INDEX('G-6 Hedgerow Data'!$AN$3:$AZ$15,MATCH(C62,'G-6 Hedgerow Data'!$AM$3:$AM$15,0),MATCH(M62,'G-6 Hedgerow Data'!$AN$2:$AZ$2,0))),"")</f>
        <v/>
      </c>
      <c r="O62" s="363" t="str">
        <f t="shared" si="2"/>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70" t="str">
        <f t="shared" si="5"/>
        <v/>
      </c>
      <c r="AF62" s="370" t="str">
        <f t="shared" si="6"/>
        <v/>
      </c>
      <c r="AG62" s="386" t="str">
        <f>IFERROR(IF(O62="","",VLOOKUP(AD62,'G-3 Multipliers'!$P$3:$Q$6,2,FALSE)),"")</f>
        <v/>
      </c>
      <c r="AH62" s="376" t="str">
        <f t="shared" si="7"/>
        <v/>
      </c>
      <c r="AI62" s="188"/>
      <c r="AJ62" s="118"/>
      <c r="AK62" s="120"/>
      <c r="AT62" s="30" t="str">
        <f>IFERROR(INDEX('G-6 Hedgerow Data'!$BJ$3:$BJ$15,MATCH(M62,'G-6 Hedgerow Data'!$B$3:$B$15,0)),"")</f>
        <v/>
      </c>
    </row>
    <row r="63" spans="2:46" ht="13.8" x14ac:dyDescent="0.25">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0"/>
        <v/>
      </c>
      <c r="N63" s="362" t="str">
        <f>IFERROR(IF(B63="","",INDEX('G-6 Hedgerow Data'!$AN$3:$AZ$15,MATCH(C63,'G-6 Hedgerow Data'!$AM$3:$AM$15,0),MATCH(M63,'G-6 Hedgerow Data'!$AN$2:$AZ$2,0))),"")</f>
        <v/>
      </c>
      <c r="O63" s="363" t="str">
        <f t="shared" si="2"/>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70" t="str">
        <f t="shared" si="5"/>
        <v/>
      </c>
      <c r="AF63" s="370" t="str">
        <f t="shared" si="6"/>
        <v/>
      </c>
      <c r="AG63" s="386" t="str">
        <f>IFERROR(IF(O63="","",VLOOKUP(AD63,'G-3 Multipliers'!$P$3:$Q$6,2,FALSE)),"")</f>
        <v/>
      </c>
      <c r="AH63" s="376" t="str">
        <f t="shared" si="7"/>
        <v/>
      </c>
      <c r="AI63" s="188"/>
      <c r="AJ63" s="118"/>
      <c r="AK63" s="120"/>
      <c r="AT63" s="30" t="str">
        <f>IFERROR(INDEX('G-6 Hedgerow Data'!$BJ$3:$BJ$15,MATCH(M63,'G-6 Hedgerow Data'!$B$3:$B$15,0)),"")</f>
        <v/>
      </c>
    </row>
    <row r="64" spans="2:46" ht="13.8" x14ac:dyDescent="0.25">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0"/>
        <v/>
      </c>
      <c r="N64" s="362" t="str">
        <f>IFERROR(IF(B64="","",INDEX('G-6 Hedgerow Data'!$AN$3:$AZ$15,MATCH(C64,'G-6 Hedgerow Data'!$AM$3:$AM$15,0),MATCH(M64,'G-6 Hedgerow Data'!$AN$2:$AZ$2,0))),"")</f>
        <v/>
      </c>
      <c r="O64" s="363" t="str">
        <f t="shared" si="2"/>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70" t="str">
        <f t="shared" si="5"/>
        <v/>
      </c>
      <c r="AF64" s="370" t="str">
        <f t="shared" si="6"/>
        <v/>
      </c>
      <c r="AG64" s="386" t="str">
        <f>IFERROR(IF(O64="","",VLOOKUP(AD64,'G-3 Multipliers'!$P$3:$Q$6,2,FALSE)),"")</f>
        <v/>
      </c>
      <c r="AH64" s="376" t="str">
        <f t="shared" si="7"/>
        <v/>
      </c>
      <c r="AI64" s="188"/>
      <c r="AJ64" s="118"/>
      <c r="AK64" s="120"/>
      <c r="AT64" s="30" t="str">
        <f>IFERROR(INDEX('G-6 Hedgerow Data'!$BJ$3:$BJ$15,MATCH(M64,'G-6 Hedgerow Data'!$B$3:$B$15,0)),"")</f>
        <v/>
      </c>
    </row>
    <row r="65" spans="2:46" ht="13.8" x14ac:dyDescent="0.25">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0"/>
        <v/>
      </c>
      <c r="N65" s="362" t="str">
        <f>IFERROR(IF(B65="","",INDEX('G-6 Hedgerow Data'!$AN$3:$AZ$15,MATCH(C65,'G-6 Hedgerow Data'!$AM$3:$AM$15,0),MATCH(M65,'G-6 Hedgerow Data'!$AN$2:$AZ$2,0))),"")</f>
        <v/>
      </c>
      <c r="O65" s="363" t="str">
        <f t="shared" si="2"/>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70" t="str">
        <f t="shared" si="5"/>
        <v/>
      </c>
      <c r="AF65" s="370" t="str">
        <f t="shared" si="6"/>
        <v/>
      </c>
      <c r="AG65" s="386" t="str">
        <f>IFERROR(IF(O65="","",VLOOKUP(AD65,'G-3 Multipliers'!$P$3:$Q$6,2,FALSE)),"")</f>
        <v/>
      </c>
      <c r="AH65" s="376" t="str">
        <f t="shared" si="7"/>
        <v/>
      </c>
      <c r="AI65" s="188"/>
      <c r="AJ65" s="118"/>
      <c r="AK65" s="120"/>
      <c r="AT65" s="30" t="str">
        <f>IFERROR(INDEX('G-6 Hedgerow Data'!$BJ$3:$BJ$15,MATCH(M65,'G-6 Hedgerow Data'!$B$3:$B$15,0)),"")</f>
        <v/>
      </c>
    </row>
    <row r="66" spans="2:46" ht="13.8" x14ac:dyDescent="0.25">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0"/>
        <v/>
      </c>
      <c r="N66" s="362" t="str">
        <f>IFERROR(IF(B66="","",INDEX('G-6 Hedgerow Data'!$AN$3:$AZ$15,MATCH(C66,'G-6 Hedgerow Data'!$AM$3:$AM$15,0),MATCH(M66,'G-6 Hedgerow Data'!$AN$2:$AZ$2,0))),"")</f>
        <v/>
      </c>
      <c r="O66" s="363" t="str">
        <f t="shared" si="2"/>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70" t="str">
        <f t="shared" si="5"/>
        <v/>
      </c>
      <c r="AF66" s="370" t="str">
        <f t="shared" si="6"/>
        <v/>
      </c>
      <c r="AG66" s="386" t="str">
        <f>IFERROR(IF(O66="","",VLOOKUP(AD66,'G-3 Multipliers'!$P$3:$Q$6,2,FALSE)),"")</f>
        <v/>
      </c>
      <c r="AH66" s="376" t="str">
        <f t="shared" si="7"/>
        <v/>
      </c>
      <c r="AI66" s="188"/>
      <c r="AJ66" s="118"/>
      <c r="AK66" s="120"/>
      <c r="AT66" s="30" t="str">
        <f>IFERROR(INDEX('G-6 Hedgerow Data'!$BJ$3:$BJ$15,MATCH(M66,'G-6 Hedgerow Data'!$B$3:$B$15,0)),"")</f>
        <v/>
      </c>
    </row>
    <row r="67" spans="2:46" ht="13.8" x14ac:dyDescent="0.25">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0"/>
        <v/>
      </c>
      <c r="N67" s="362" t="str">
        <f>IFERROR(IF(B67="","",INDEX('G-6 Hedgerow Data'!$AN$3:$AZ$15,MATCH(C67,'G-6 Hedgerow Data'!$AM$3:$AM$15,0),MATCH(M67,'G-6 Hedgerow Data'!$AN$2:$AZ$2,0))),"")</f>
        <v/>
      </c>
      <c r="O67" s="363" t="str">
        <f t="shared" si="2"/>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70" t="str">
        <f t="shared" si="5"/>
        <v/>
      </c>
      <c r="AF67" s="370" t="str">
        <f t="shared" si="6"/>
        <v/>
      </c>
      <c r="AG67" s="386" t="str">
        <f>IFERROR(IF(O67="","",VLOOKUP(AD67,'G-3 Multipliers'!$P$3:$Q$6,2,FALSE)),"")</f>
        <v/>
      </c>
      <c r="AH67" s="376" t="str">
        <f t="shared" si="7"/>
        <v/>
      </c>
      <c r="AI67" s="188"/>
      <c r="AJ67" s="118"/>
      <c r="AK67" s="120"/>
      <c r="AT67" s="30" t="str">
        <f>IFERROR(INDEX('G-6 Hedgerow Data'!$BJ$3:$BJ$15,MATCH(M67,'G-6 Hedgerow Data'!$B$3:$B$15,0)),"")</f>
        <v/>
      </c>
    </row>
    <row r="68" spans="2:46" ht="13.8" x14ac:dyDescent="0.25">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0"/>
        <v/>
      </c>
      <c r="N68" s="362" t="str">
        <f>IFERROR(IF(B68="","",INDEX('G-6 Hedgerow Data'!$AN$3:$AZ$15,MATCH(C68,'G-6 Hedgerow Data'!$AM$3:$AM$15,0),MATCH(M68,'G-6 Hedgerow Data'!$AN$2:$AZ$2,0))),"")</f>
        <v/>
      </c>
      <c r="O68" s="363" t="str">
        <f t="shared" si="2"/>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70" t="str">
        <f t="shared" si="5"/>
        <v/>
      </c>
      <c r="AF68" s="370" t="str">
        <f t="shared" si="6"/>
        <v/>
      </c>
      <c r="AG68" s="386" t="str">
        <f>IFERROR(IF(O68="","",VLOOKUP(AD68,'G-3 Multipliers'!$P$3:$Q$6,2,FALSE)),"")</f>
        <v/>
      </c>
      <c r="AH68" s="376" t="str">
        <f t="shared" si="7"/>
        <v/>
      </c>
      <c r="AI68" s="188"/>
      <c r="AJ68" s="118"/>
      <c r="AK68" s="120"/>
      <c r="AT68" s="30" t="str">
        <f>IFERROR(INDEX('G-6 Hedgerow Data'!$BJ$3:$BJ$15,MATCH(M68,'G-6 Hedgerow Data'!$B$3:$B$15,0)),"")</f>
        <v/>
      </c>
    </row>
    <row r="69" spans="2:46" ht="13.8" x14ac:dyDescent="0.25">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0"/>
        <v/>
      </c>
      <c r="N69" s="362" t="str">
        <f>IFERROR(IF(B69="","",INDEX('G-6 Hedgerow Data'!$AN$3:$AZ$15,MATCH(C69,'G-6 Hedgerow Data'!$AM$3:$AM$15,0),MATCH(M69,'G-6 Hedgerow Data'!$AN$2:$AZ$2,0))),"")</f>
        <v/>
      </c>
      <c r="O69" s="363" t="str">
        <f t="shared" si="2"/>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70" t="str">
        <f t="shared" si="5"/>
        <v/>
      </c>
      <c r="AF69" s="370" t="str">
        <f t="shared" si="6"/>
        <v/>
      </c>
      <c r="AG69" s="386" t="str">
        <f>IFERROR(IF(O69="","",VLOOKUP(AD69,'G-3 Multipliers'!$P$3:$Q$6,2,FALSE)),"")</f>
        <v/>
      </c>
      <c r="AH69" s="376" t="str">
        <f t="shared" si="7"/>
        <v/>
      </c>
      <c r="AI69" s="188"/>
      <c r="AJ69" s="118"/>
      <c r="AK69" s="120"/>
      <c r="AT69" s="30" t="str">
        <f>IFERROR(INDEX('G-6 Hedgerow Data'!$BJ$3:$BJ$15,MATCH(M69,'G-6 Hedgerow Data'!$B$3:$B$15,0)),"")</f>
        <v/>
      </c>
    </row>
    <row r="70" spans="2:46" ht="13.8" x14ac:dyDescent="0.25">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0"/>
        <v/>
      </c>
      <c r="N70" s="362" t="str">
        <f>IFERROR(IF(B70="","",INDEX('G-6 Hedgerow Data'!$AN$3:$AZ$15,MATCH(C70,'G-6 Hedgerow Data'!$AM$3:$AM$15,0),MATCH(M70,'G-6 Hedgerow Data'!$AN$2:$AZ$2,0))),"")</f>
        <v/>
      </c>
      <c r="O70" s="363" t="str">
        <f t="shared" si="2"/>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70" t="str">
        <f t="shared" si="5"/>
        <v/>
      </c>
      <c r="AF70" s="370" t="str">
        <f t="shared" si="6"/>
        <v/>
      </c>
      <c r="AG70" s="386" t="str">
        <f>IFERROR(IF(O70="","",VLOOKUP(AD70,'G-3 Multipliers'!$P$3:$Q$6,2,FALSE)),"")</f>
        <v/>
      </c>
      <c r="AH70" s="376" t="str">
        <f t="shared" si="7"/>
        <v/>
      </c>
      <c r="AI70" s="188"/>
      <c r="AJ70" s="118"/>
      <c r="AK70" s="120"/>
      <c r="AT70" s="30" t="str">
        <f>IFERROR(INDEX('G-6 Hedgerow Data'!$BJ$3:$BJ$15,MATCH(M70,'G-6 Hedgerow Data'!$B$3:$B$15,0)),"")</f>
        <v/>
      </c>
    </row>
    <row r="71" spans="2:46" ht="13.8" x14ac:dyDescent="0.25">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0"/>
        <v/>
      </c>
      <c r="N71" s="362" t="str">
        <f>IFERROR(IF(B71="","",INDEX('G-6 Hedgerow Data'!$AN$3:$AZ$15,MATCH(C71,'G-6 Hedgerow Data'!$AM$3:$AM$15,0),MATCH(M71,'G-6 Hedgerow Data'!$AN$2:$AZ$2,0))),"")</f>
        <v/>
      </c>
      <c r="O71" s="363" t="str">
        <f t="shared" si="2"/>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70" t="str">
        <f t="shared" si="5"/>
        <v/>
      </c>
      <c r="AF71" s="370" t="str">
        <f t="shared" si="6"/>
        <v/>
      </c>
      <c r="AG71" s="386" t="str">
        <f>IFERROR(IF(O71="","",VLOOKUP(AD71,'G-3 Multipliers'!$P$3:$Q$6,2,FALSE)),"")</f>
        <v/>
      </c>
      <c r="AH71" s="376" t="str">
        <f t="shared" si="7"/>
        <v/>
      </c>
      <c r="AI71" s="188"/>
      <c r="AJ71" s="118"/>
      <c r="AK71" s="120"/>
      <c r="AT71" s="30" t="str">
        <f>IFERROR(INDEX('G-6 Hedgerow Data'!$BJ$3:$BJ$15,MATCH(M71,'G-6 Hedgerow Data'!$B$3:$B$15,0)),"")</f>
        <v/>
      </c>
    </row>
    <row r="72" spans="2:46" ht="13.8" x14ac:dyDescent="0.25">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0"/>
        <v/>
      </c>
      <c r="N72" s="362" t="str">
        <f>IFERROR(IF(B72="","",INDEX('G-6 Hedgerow Data'!$AN$3:$AZ$15,MATCH(C72,'G-6 Hedgerow Data'!$AM$3:$AM$15,0),MATCH(M72,'G-6 Hedgerow Data'!$AN$2:$AZ$2,0))),"")</f>
        <v/>
      </c>
      <c r="O72" s="363" t="str">
        <f t="shared" si="2"/>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70" t="str">
        <f t="shared" si="5"/>
        <v/>
      </c>
      <c r="AF72" s="370" t="str">
        <f t="shared" si="6"/>
        <v/>
      </c>
      <c r="AG72" s="386" t="str">
        <f>IFERROR(IF(O72="","",VLOOKUP(AD72,'G-3 Multipliers'!$P$3:$Q$6,2,FALSE)),"")</f>
        <v/>
      </c>
      <c r="AH72" s="376" t="str">
        <f t="shared" si="7"/>
        <v/>
      </c>
      <c r="AI72" s="188"/>
      <c r="AJ72" s="118"/>
      <c r="AK72" s="120"/>
      <c r="AT72" s="30" t="str">
        <f>IFERROR(INDEX('G-6 Hedgerow Data'!$BJ$3:$BJ$15,MATCH(M72,'G-6 Hedgerow Data'!$B$3:$B$15,0)),"")</f>
        <v/>
      </c>
    </row>
    <row r="73" spans="2:46" ht="13.8" x14ac:dyDescent="0.25">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0"/>
        <v/>
      </c>
      <c r="N73" s="362" t="str">
        <f>IFERROR(IF(B73="","",INDEX('G-6 Hedgerow Data'!$AN$3:$AZ$15,MATCH(C73,'G-6 Hedgerow Data'!$AM$3:$AM$15,0),MATCH(M73,'G-6 Hedgerow Data'!$AN$2:$AZ$2,0))),"")</f>
        <v/>
      </c>
      <c r="O73" s="363" t="str">
        <f t="shared" si="2"/>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70" t="str">
        <f t="shared" si="5"/>
        <v/>
      </c>
      <c r="AF73" s="370" t="str">
        <f t="shared" si="6"/>
        <v/>
      </c>
      <c r="AG73" s="386" t="str">
        <f>IFERROR(IF(O73="","",VLOOKUP(AD73,'G-3 Multipliers'!$P$3:$Q$6,2,FALSE)),"")</f>
        <v/>
      </c>
      <c r="AH73" s="376" t="str">
        <f t="shared" si="7"/>
        <v/>
      </c>
      <c r="AI73" s="188"/>
      <c r="AJ73" s="118"/>
      <c r="AK73" s="120"/>
      <c r="AT73" s="30" t="str">
        <f>IFERROR(INDEX('G-6 Hedgerow Data'!$BJ$3:$BJ$15,MATCH(M73,'G-6 Hedgerow Data'!$B$3:$B$15,0)),"")</f>
        <v/>
      </c>
    </row>
    <row r="74" spans="2:46" ht="13.8" x14ac:dyDescent="0.25">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0"/>
        <v/>
      </c>
      <c r="N74" s="362" t="str">
        <f>IFERROR(IF(B74="","",INDEX('G-6 Hedgerow Data'!$AN$3:$AZ$15,MATCH(C74,'G-6 Hedgerow Data'!$AM$3:$AM$15,0),MATCH(M74,'G-6 Hedgerow Data'!$AN$2:$AZ$2,0))),"")</f>
        <v/>
      </c>
      <c r="O74" s="363" t="str">
        <f t="shared" si="2"/>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70" t="str">
        <f t="shared" si="5"/>
        <v/>
      </c>
      <c r="AF74" s="370" t="str">
        <f t="shared" si="6"/>
        <v/>
      </c>
      <c r="AG74" s="386" t="str">
        <f>IFERROR(IF(O74="","",VLOOKUP(AD74,'G-3 Multipliers'!$P$3:$Q$6,2,FALSE)),"")</f>
        <v/>
      </c>
      <c r="AH74" s="376" t="str">
        <f t="shared" si="7"/>
        <v/>
      </c>
      <c r="AI74" s="188"/>
      <c r="AJ74" s="118"/>
      <c r="AK74" s="120"/>
      <c r="AT74" s="30" t="str">
        <f>IFERROR(INDEX('G-6 Hedgerow Data'!$BJ$3:$BJ$15,MATCH(M74,'G-6 Hedgerow Data'!$B$3:$B$15,0)),"")</f>
        <v/>
      </c>
    </row>
    <row r="75" spans="2:46" ht="13.8" x14ac:dyDescent="0.25">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0"/>
        <v/>
      </c>
      <c r="N75" s="362" t="str">
        <f>IFERROR(IF(B75="","",INDEX('G-6 Hedgerow Data'!$AN$3:$AZ$15,MATCH(C75,'G-6 Hedgerow Data'!$AM$3:$AM$15,0),MATCH(M75,'G-6 Hedgerow Data'!$AN$2:$AZ$2,0))),"")</f>
        <v/>
      </c>
      <c r="O75" s="363" t="str">
        <f t="shared" si="2"/>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70" t="str">
        <f t="shared" si="5"/>
        <v/>
      </c>
      <c r="AF75" s="370" t="str">
        <f t="shared" si="6"/>
        <v/>
      </c>
      <c r="AG75" s="386" t="str">
        <f>IFERROR(IF(O75="","",VLOOKUP(AD75,'G-3 Multipliers'!$P$3:$Q$6,2,FALSE)),"")</f>
        <v/>
      </c>
      <c r="AH75" s="376" t="str">
        <f t="shared" si="7"/>
        <v/>
      </c>
      <c r="AI75" s="188"/>
      <c r="AJ75" s="118"/>
      <c r="AK75" s="120"/>
      <c r="AT75" s="30" t="str">
        <f>IFERROR(INDEX('G-6 Hedgerow Data'!$BJ$3:$BJ$15,MATCH(M75,'G-6 Hedgerow Data'!$B$3:$B$15,0)),"")</f>
        <v/>
      </c>
    </row>
    <row r="76" spans="2:46" ht="13.8" x14ac:dyDescent="0.25">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0"/>
        <v/>
      </c>
      <c r="N76" s="362" t="str">
        <f>IFERROR(IF(B76="","",INDEX('G-6 Hedgerow Data'!$AN$3:$AZ$15,MATCH(C76,'G-6 Hedgerow Data'!$AM$3:$AM$15,0),MATCH(M76,'G-6 Hedgerow Data'!$AN$2:$AZ$2,0))),"")</f>
        <v/>
      </c>
      <c r="O76" s="363" t="str">
        <f t="shared" si="2"/>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8">IF(OR(S76="",M76=""),"",IF(LEFT(AB76,5)="Error ▲","Check Data ⚠",IF(AB76="Check Data ⚠","Check Data ⚠",VLOOKUP(AB76,TemporalMultipliers,3,FALSE))))</f>
        <v/>
      </c>
      <c r="AD76" s="398" t="str">
        <f>IF(M76="","",VLOOKUP(M76,'G-6 Hedgerow Data'!$B$3:$AG$15,31,FALSE))</f>
        <v/>
      </c>
      <c r="AE76" s="370" t="str">
        <f t="shared" si="5"/>
        <v/>
      </c>
      <c r="AF76" s="370" t="str">
        <f t="shared" si="6"/>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3.8" x14ac:dyDescent="0.25">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0"/>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3.8" x14ac:dyDescent="0.25">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3.8" x14ac:dyDescent="0.25">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3.8" x14ac:dyDescent="0.25">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3.8" x14ac:dyDescent="0.25">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3.8" x14ac:dyDescent="0.25">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3.8" x14ac:dyDescent="0.25">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3.8" x14ac:dyDescent="0.25">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3.8" x14ac:dyDescent="0.25">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3.8" x14ac:dyDescent="0.25">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3.8" x14ac:dyDescent="0.25">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3.8" x14ac:dyDescent="0.25">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3.8" x14ac:dyDescent="0.25">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3.8" x14ac:dyDescent="0.25">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3.8" x14ac:dyDescent="0.25">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3.8" x14ac:dyDescent="0.25">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3.8" x14ac:dyDescent="0.25">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3.8" x14ac:dyDescent="0.25">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3.8" x14ac:dyDescent="0.25">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3.8" x14ac:dyDescent="0.25">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3.8" x14ac:dyDescent="0.25">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3.8" x14ac:dyDescent="0.25">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3.8" x14ac:dyDescent="0.25">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3.8" x14ac:dyDescent="0.25">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3.8" x14ac:dyDescent="0.25">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3.8" x14ac:dyDescent="0.25">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3.8" x14ac:dyDescent="0.25">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3.8" x14ac:dyDescent="0.25">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3.8" x14ac:dyDescent="0.25">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3.8" x14ac:dyDescent="0.25">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3.8" x14ac:dyDescent="0.25">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3.8" x14ac:dyDescent="0.25">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3.8" x14ac:dyDescent="0.25">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3.8" x14ac:dyDescent="0.25">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3.8" x14ac:dyDescent="0.25">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3.8" x14ac:dyDescent="0.25">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3.8" x14ac:dyDescent="0.25">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3.8" x14ac:dyDescent="0.25">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3.8" x14ac:dyDescent="0.25">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3.8" x14ac:dyDescent="0.25">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3.8" x14ac:dyDescent="0.25">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3.8" x14ac:dyDescent="0.25">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3.8" x14ac:dyDescent="0.25">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3.8" x14ac:dyDescent="0.25">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3.8" x14ac:dyDescent="0.25">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3.8" x14ac:dyDescent="0.25">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3.8" x14ac:dyDescent="0.25">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3.8" x14ac:dyDescent="0.25">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3.8" x14ac:dyDescent="0.25">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3.8" x14ac:dyDescent="0.25">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3.8" x14ac:dyDescent="0.25">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3.8" x14ac:dyDescent="0.25">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3.8" x14ac:dyDescent="0.25">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3.8" x14ac:dyDescent="0.25">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3.8" x14ac:dyDescent="0.25">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3.8" x14ac:dyDescent="0.25">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3.8" x14ac:dyDescent="0.25">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3.8" x14ac:dyDescent="0.25">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3.8" x14ac:dyDescent="0.25">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3.8" x14ac:dyDescent="0.25">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3.8" x14ac:dyDescent="0.25">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3.8" x14ac:dyDescent="0.25">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3.8" x14ac:dyDescent="0.25">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3.8" x14ac:dyDescent="0.25">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3.8" x14ac:dyDescent="0.25">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3.8" x14ac:dyDescent="0.25">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3.8" x14ac:dyDescent="0.25">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3.8" x14ac:dyDescent="0.25">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3.8" x14ac:dyDescent="0.25">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3.8" x14ac:dyDescent="0.25">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3.8" x14ac:dyDescent="0.25">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3.8" x14ac:dyDescent="0.25">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3.8" x14ac:dyDescent="0.25">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3.8" x14ac:dyDescent="0.25">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3.8" x14ac:dyDescent="0.25">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3.8" x14ac:dyDescent="0.25">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3.8" x14ac:dyDescent="0.25">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3.8" x14ac:dyDescent="0.25">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3.8" x14ac:dyDescent="0.25">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3.8" x14ac:dyDescent="0.25">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3.8" x14ac:dyDescent="0.25">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3.8" x14ac:dyDescent="0.25">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3.8" x14ac:dyDescent="0.25">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3.8" x14ac:dyDescent="0.25">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3.8" x14ac:dyDescent="0.25">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3.8" x14ac:dyDescent="0.25">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3.8" x14ac:dyDescent="0.25">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3.8" x14ac:dyDescent="0.25">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3.8" x14ac:dyDescent="0.25">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3.8" x14ac:dyDescent="0.25">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3.8" x14ac:dyDescent="0.25">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3.8" x14ac:dyDescent="0.25">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3.8" x14ac:dyDescent="0.25">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3.8" x14ac:dyDescent="0.25">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3.8" x14ac:dyDescent="0.25">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3.8" x14ac:dyDescent="0.25">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3.8" x14ac:dyDescent="0.25">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3.8" x14ac:dyDescent="0.25">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3.8" x14ac:dyDescent="0.25">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3.8" x14ac:dyDescent="0.25">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3.8" x14ac:dyDescent="0.25">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3.8" x14ac:dyDescent="0.25">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3.8" x14ac:dyDescent="0.25">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3.8" x14ac:dyDescent="0.25">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3.8" x14ac:dyDescent="0.25">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3.8" x14ac:dyDescent="0.25">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3.8" x14ac:dyDescent="0.25">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3.8" x14ac:dyDescent="0.25">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3.8" x14ac:dyDescent="0.25">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3.8" x14ac:dyDescent="0.25">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3.8" x14ac:dyDescent="0.25">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3.8" x14ac:dyDescent="0.25">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3.8" x14ac:dyDescent="0.25">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3.8" x14ac:dyDescent="0.25">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3.8" x14ac:dyDescent="0.25">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3.8" x14ac:dyDescent="0.25">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3.8" x14ac:dyDescent="0.25">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3.8" x14ac:dyDescent="0.25">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3.8" x14ac:dyDescent="0.25">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3.8" x14ac:dyDescent="0.25">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3.8" x14ac:dyDescent="0.25">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3.8" x14ac:dyDescent="0.25">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3.8" x14ac:dyDescent="0.25">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3.8" x14ac:dyDescent="0.25">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3.8" x14ac:dyDescent="0.25">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3.8" x14ac:dyDescent="0.25">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3.8" x14ac:dyDescent="0.25">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3.8" x14ac:dyDescent="0.25">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3.8" x14ac:dyDescent="0.25">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3.8" x14ac:dyDescent="0.25">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3.8" x14ac:dyDescent="0.25">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3.8" x14ac:dyDescent="0.25">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3.8" x14ac:dyDescent="0.25">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3.8" x14ac:dyDescent="0.25">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3.8" x14ac:dyDescent="0.25">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3.8" x14ac:dyDescent="0.25">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3.8" x14ac:dyDescent="0.25">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3.8" x14ac:dyDescent="0.25">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3.8" x14ac:dyDescent="0.25">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3.8" x14ac:dyDescent="0.25">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3.8" x14ac:dyDescent="0.25">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3.8" x14ac:dyDescent="0.25">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3.8" x14ac:dyDescent="0.25">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3.8" x14ac:dyDescent="0.25">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3.8" x14ac:dyDescent="0.25">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3.8" x14ac:dyDescent="0.25">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3.8" x14ac:dyDescent="0.25">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3.8" x14ac:dyDescent="0.25">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3.8" x14ac:dyDescent="0.25">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3.8" x14ac:dyDescent="0.25">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3.8" x14ac:dyDescent="0.25">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3.8" x14ac:dyDescent="0.25">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3.8" x14ac:dyDescent="0.25">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3.8" x14ac:dyDescent="0.25">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3.8" x14ac:dyDescent="0.25">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3.8" x14ac:dyDescent="0.25">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3.8" x14ac:dyDescent="0.25">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3.8" x14ac:dyDescent="0.25">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3.8" x14ac:dyDescent="0.25">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3.8" x14ac:dyDescent="0.25">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3.8" x14ac:dyDescent="0.25">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3.8" x14ac:dyDescent="0.25">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3.8" x14ac:dyDescent="0.25">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3.8" x14ac:dyDescent="0.25">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3.8" x14ac:dyDescent="0.25">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3.8" x14ac:dyDescent="0.25">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3.8" x14ac:dyDescent="0.25">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3.8" x14ac:dyDescent="0.25">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3.8" x14ac:dyDescent="0.25">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3.8" x14ac:dyDescent="0.25">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3.8" x14ac:dyDescent="0.25">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3.8" x14ac:dyDescent="0.25">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3.8" x14ac:dyDescent="0.25">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3.8" x14ac:dyDescent="0.25">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3.8" x14ac:dyDescent="0.25">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3.8" x14ac:dyDescent="0.25">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3.8" x14ac:dyDescent="0.25">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3.8" x14ac:dyDescent="0.25">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3.8" x14ac:dyDescent="0.25">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3.8" x14ac:dyDescent="0.25">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4.4" thickBot="1" x14ac:dyDescent="0.3">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4.4" thickBot="1" x14ac:dyDescent="0.3">
      <c r="B258" s="34"/>
      <c r="C258" s="34"/>
      <c r="D258" s="34"/>
      <c r="E258" s="34"/>
      <c r="F258" s="34"/>
      <c r="G258" s="34"/>
      <c r="H258" s="34"/>
      <c r="I258" s="34"/>
      <c r="J258" s="34"/>
      <c r="K258" s="34"/>
      <c r="L258" s="34"/>
      <c r="M258" s="34"/>
      <c r="N258" s="34"/>
      <c r="O258" s="322"/>
      <c r="P258" s="366">
        <f>SUM(P12:P257)</f>
        <v>0</v>
      </c>
      <c r="Q258" s="34"/>
      <c r="R258" s="34"/>
      <c r="S258" s="34"/>
      <c r="T258" s="34"/>
      <c r="U258" s="34"/>
      <c r="V258" s="34"/>
      <c r="W258" s="34"/>
      <c r="X258" s="34"/>
      <c r="Y258" s="34"/>
      <c r="Z258" s="34"/>
      <c r="AA258" s="34"/>
      <c r="AB258" s="34"/>
      <c r="AC258" s="34"/>
      <c r="AD258" s="34"/>
      <c r="AE258" s="34"/>
      <c r="AF258" s="321"/>
      <c r="AG258" s="321"/>
      <c r="AH258" s="366">
        <f>SUM(AH12:AH257)</f>
        <v>0</v>
      </c>
      <c r="AI258" s="34"/>
      <c r="AJ258" s="34"/>
    </row>
    <row r="259" spans="2:46" ht="13.8" x14ac:dyDescent="0.25"/>
    <row r="260" spans="2:46" ht="13.8" x14ac:dyDescent="0.25"/>
    <row r="261" spans="2:46" ht="13.8" x14ac:dyDescent="0.25"/>
    <row r="262" spans="2:46" ht="13.8" x14ac:dyDescent="0.25"/>
    <row r="263" spans="2:46" ht="13.8" x14ac:dyDescent="0.25"/>
    <row r="264" spans="2:46" ht="13.8" x14ac:dyDescent="0.25"/>
    <row r="265" spans="2:46" ht="13.8" x14ac:dyDescent="0.25"/>
    <row r="266" spans="2:46" ht="13.8" x14ac:dyDescent="0.25"/>
  </sheetData>
  <sheetProtection algorithmName="SHA-512" hashValue="tMaYWxNgN4WzaV2DAJY1cE4pIrNc13hA9MfZ280rwXeaU5rMhPfbM6nPlq/j2KtcHvvF+QE/xWSZv2+7MEBSZQ==" saltValue="gAtPXVOI/s5c/v9jsrULA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 ref="N2:P2"/>
    <mergeCell ref="O3:P3"/>
    <mergeCell ref="O4:P4"/>
    <mergeCell ref="O5:P5"/>
  </mergeCells>
  <conditionalFormatting sqref="AH258">
    <cfRule type="containsText" dxfId="454" priority="38" operator="containsText" text="Existing Value Not Required">
      <formula>NOT(ISERROR(SEARCH("Existing Value Not Required",AH258)))</formula>
    </cfRule>
    <cfRule type="containsText" dxfId="453" priority="39" operator="containsText" text="Existing Value Required">
      <formula>NOT(ISERROR(SEARCH("Existing Value Required",AH258)))</formula>
    </cfRule>
  </conditionalFormatting>
  <conditionalFormatting sqref="AH12:AH257">
    <cfRule type="containsText" dxfId="452" priority="34" operator="containsText" text="Existing Value Not Required">
      <formula>NOT(ISERROR(SEARCH("Existing Value Not Required",AH12)))</formula>
    </cfRule>
    <cfRule type="containsText" dxfId="451" priority="35" operator="containsText" text="Existing Value Required">
      <formula>NOT(ISERROR(SEARCH("Existing Value Required",AH12)))</formula>
    </cfRule>
  </conditionalFormatting>
  <conditionalFormatting sqref="L12:L257">
    <cfRule type="cellIs" dxfId="450" priority="31" operator="equal">
      <formula>"Same distinctiveness band or better"</formula>
    </cfRule>
    <cfRule type="cellIs" dxfId="449" priority="32" operator="equal">
      <formula>"Like for like or better"</formula>
    </cfRule>
    <cfRule type="cellIs" dxfId="448" priority="33" operator="equal">
      <formula>"Like for Like"</formula>
    </cfRule>
  </conditionalFormatting>
  <conditionalFormatting sqref="N12:N257">
    <cfRule type="beginsWith" dxfId="447" priority="30" operator="beginsWith" text="Error">
      <formula>LEFT(N12,LEN("Error"))="Error"</formula>
    </cfRule>
  </conditionalFormatting>
  <conditionalFormatting sqref="O12:O257">
    <cfRule type="beginsWith" dxfId="446" priority="29" operator="beginsWith" text="Error">
      <formula>LEFT(O12,LEN("Error"))="Error"</formula>
    </cfRule>
  </conditionalFormatting>
  <conditionalFormatting sqref="V12:V257">
    <cfRule type="containsText" dxfId="445" priority="28" operator="containsText" text="Spatial">
      <formula>NOT(ISERROR(SEARCH("Spatial",V12)))</formula>
    </cfRule>
  </conditionalFormatting>
  <conditionalFormatting sqref="W12:W257">
    <cfRule type="containsText" dxfId="444" priority="27" operator="containsText" text="Spatial">
      <formula>NOT(ISERROR(SEARCH("Spatial",W12)))</formula>
    </cfRule>
  </conditionalFormatting>
  <conditionalFormatting sqref="X12:X257">
    <cfRule type="containsText" dxfId="443" priority="25" operator="containsText" text="Error">
      <formula>NOT(ISERROR(SEARCH("Error",X12)))</formula>
    </cfRule>
    <cfRule type="containsText" dxfId="442" priority="26" operator="containsText" text="Check">
      <formula>NOT(ISERROR(SEARCH("Check",X12)))</formula>
    </cfRule>
  </conditionalFormatting>
  <conditionalFormatting sqref="AA12:AA257">
    <cfRule type="containsText" dxfId="441" priority="23" operator="containsText" text="Error">
      <formula>NOT(ISERROR(SEARCH("Error",AA12)))</formula>
    </cfRule>
    <cfRule type="containsText" dxfId="440" priority="24" operator="containsText" text="Check">
      <formula>NOT(ISERROR(SEARCH("Check",AA12)))</formula>
    </cfRule>
  </conditionalFormatting>
  <conditionalFormatting sqref="AB12:AB257">
    <cfRule type="cellIs" dxfId="439" priority="15" operator="equal">
      <formula>"30+ ⚠"</formula>
    </cfRule>
    <cfRule type="containsText" dxfId="438" priority="21" operator="containsText" text="Error">
      <formula>NOT(ISERROR(SEARCH("Error",AB12)))</formula>
    </cfRule>
    <cfRule type="containsText" dxfId="437" priority="22" operator="containsText" text="Check">
      <formula>NOT(ISERROR(SEARCH("Check",AB12)))</formula>
    </cfRule>
  </conditionalFormatting>
  <conditionalFormatting sqref="AC12:AC257">
    <cfRule type="containsText" dxfId="436" priority="19" operator="containsText" text="Error">
      <formula>NOT(ISERROR(SEARCH("Error",AC12)))</formula>
    </cfRule>
    <cfRule type="containsText" dxfId="435" priority="20" operator="containsText" text="Check">
      <formula>NOT(ISERROR(SEARCH("Check",AC12)))</formula>
    </cfRule>
  </conditionalFormatting>
  <conditionalFormatting sqref="AE12:AE257">
    <cfRule type="beginsWith" dxfId="434" priority="17" operator="beginsWith" text="No - Low Difficulty">
      <formula>LEFT(AE12,LEN("No - Low Difficulty"))="No - Low Difficulty"</formula>
    </cfRule>
    <cfRule type="containsText" dxfId="433" priority="18" operator="containsText" text="Check">
      <formula>NOT(ISERROR(SEARCH("Check",AE12)))</formula>
    </cfRule>
  </conditionalFormatting>
  <conditionalFormatting sqref="X5:AB6 X2">
    <cfRule type="containsText" dxfId="432" priority="16" operator="containsText" text="Note">
      <formula>NOT(ISERROR(SEARCH("Note",X2)))</formula>
    </cfRule>
  </conditionalFormatting>
  <conditionalFormatting sqref="O3">
    <cfRule type="containsText" dxfId="431" priority="13" operator="containsText" text="Error">
      <formula>NOT(ISERROR(SEARCH("Error",O3)))</formula>
    </cfRule>
    <cfRule type="containsText" dxfId="430" priority="14" operator="containsText" text="Check">
      <formula>NOT(ISERROR(SEARCH("Check",O3)))</formula>
    </cfRule>
  </conditionalFormatting>
  <conditionalFormatting sqref="O4">
    <cfRule type="containsText" dxfId="429" priority="2" operator="containsText" text="Error">
      <formula>NOT(ISERROR(SEARCH("Error",O4)))</formula>
    </cfRule>
    <cfRule type="containsText" dxfId="428" priority="3" operator="containsText" text="Check">
      <formula>NOT(ISERROR(SEARCH("Check",O4)))</formula>
    </cfRule>
  </conditionalFormatting>
  <conditionalFormatting sqref="O5">
    <cfRule type="containsText" dxfId="427" priority="7" operator="containsText" text="No">
      <formula>NOT(ISERROR(SEARCH("No",O5)))</formula>
    </cfRule>
    <cfRule type="containsText" dxfId="426" priority="8" operator="containsText" text="Yes">
      <formula>NOT(ISERROR(SEARCH("Yes",O5)))</formula>
    </cfRule>
  </conditionalFormatting>
  <conditionalFormatting sqref="T12:T257">
    <cfRule type="containsText" dxfId="425" priority="6" operator="containsText" text="Not possible">
      <formula>NOT(ISERROR(SEARCH("Not possible",T12)))</formula>
    </cfRule>
  </conditionalFormatting>
  <conditionalFormatting sqref="O4:P4">
    <cfRule type="cellIs" dxfId="424" priority="4" operator="equal">
      <formula>0</formula>
    </cfRule>
    <cfRule type="cellIs" dxfId="423" priority="5" operator="lessThan">
      <formula>0</formula>
    </cfRule>
  </conditionalFormatting>
  <conditionalFormatting sqref="O3:P5">
    <cfRule type="containsText" dxfId="422" priority="1" operator="containsText" text="N/A">
      <formula>NOT(ISERROR(SEARCH("N/A",O3)))</formula>
    </cfRule>
  </conditionalFormatting>
  <dataValidations count="1">
    <dataValidation type="list" allowBlank="1" showInputMessage="1" showErrorMessage="1" sqref="S12:S257" xr:uid="{00000000-0002-0000-1400-000000000000}">
      <formula1>INDIRECT(AT12)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8" operator="lessThan" id="{648A280C-F032-4F50-9520-A2A1C0C475E3}">
            <xm:f>Start!$F$22</xm:f>
            <x14:dxf>
              <font>
                <color rgb="FF383745"/>
              </font>
              <fill>
                <patternFill>
                  <bgColor rgb="FFFFC000"/>
                </patternFill>
              </fill>
            </x14:dxf>
          </x14:cfRule>
          <x14:cfRule type="cellIs" priority="439"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663300"/>
  </sheetPr>
  <dimension ref="A1:XFD272"/>
  <sheetViews>
    <sheetView showGridLines="0" zoomScale="80" zoomScaleNormal="80" workbookViewId="0"/>
  </sheetViews>
  <sheetFormatPr defaultColWidth="2.44140625" defaultRowHeight="0" customHeight="1" zeroHeight="1" x14ac:dyDescent="0.25"/>
  <cols>
    <col min="1" max="1" width="5" style="30" customWidth="1"/>
    <col min="2" max="2" width="11.44140625" style="30" customWidth="1"/>
    <col min="3" max="3" width="9.5546875" style="30" bestFit="1" customWidth="1"/>
    <col min="4" max="4" width="53.77734375" style="30" bestFit="1" customWidth="1"/>
    <col min="5" max="5" width="8.77734375" style="30" customWidth="1"/>
    <col min="6" max="6" width="17.5546875" style="30" customWidth="1"/>
    <col min="7" max="7" width="9.44140625" style="30" customWidth="1"/>
    <col min="8" max="8" width="13.77734375" style="30" customWidth="1"/>
    <col min="9" max="9" width="9" style="30" customWidth="1"/>
    <col min="10" max="10" width="41.77734375" style="30" customWidth="1"/>
    <col min="11" max="11" width="14.5546875" style="30" customWidth="1"/>
    <col min="12" max="12" width="13.5546875" style="30" customWidth="1"/>
    <col min="13" max="13" width="21.21875" style="30" bestFit="1" customWidth="1"/>
    <col min="14" max="14" width="14.21875" style="30" hidden="1" customWidth="1"/>
    <col min="15" max="15" width="76.77734375" style="30" customWidth="1"/>
    <col min="16" max="16" width="17.5546875" style="30" hidden="1" customWidth="1"/>
    <col min="17" max="17" width="13.21875" style="30" customWidth="1"/>
    <col min="18" max="18" width="3.77734375" style="30" customWidth="1"/>
    <col min="19" max="19" width="10.21875" style="30" bestFit="1" customWidth="1"/>
    <col min="20" max="20" width="11.77734375" style="30" customWidth="1"/>
    <col min="21" max="21" width="10.5546875" style="30" customWidth="1"/>
    <col min="22" max="22" width="11.77734375" style="30" customWidth="1"/>
    <col min="23" max="23" width="13.5546875" style="30" customWidth="1"/>
    <col min="24" max="24" width="8.21875" style="30" customWidth="1"/>
    <col min="25" max="25" width="23.21875" style="30" bestFit="1" customWidth="1"/>
    <col min="26" max="26" width="23.44140625" style="30" bestFit="1" customWidth="1"/>
    <col min="27" max="27" width="12.44140625" style="30" customWidth="1"/>
    <col min="28" max="28" width="12.77734375" style="30" customWidth="1"/>
    <col min="29" max="29" width="8.77734375" style="30" customWidth="1"/>
    <col min="30" max="50" width="0" style="30" hidden="1" customWidth="1"/>
    <col min="51" max="51" width="10.5546875" style="30" hidden="1" customWidth="1"/>
    <col min="52" max="16362" width="0" style="30" hidden="1" customWidth="1"/>
    <col min="16363" max="16383" width="2.44140625" style="30"/>
    <col min="16384" max="16384" width="4.5546875" style="542" customWidth="1"/>
  </cols>
  <sheetData>
    <row r="1" spans="2:51 16384:16384" ht="15.75" customHeight="1" thickBot="1" x14ac:dyDescent="0.3"/>
    <row r="2" spans="2:51 16384:16384" ht="15.75" customHeight="1" thickBot="1" x14ac:dyDescent="0.35">
      <c r="B2" s="1567" t="str">
        <f>CONCATENATE("Project Name:", " ", Start!F12, "     ", "Map Reference:", " ", Start!F66)</f>
        <v xml:space="preserve">Project Name: Grove Farm Solar     Map Reference: </v>
      </c>
      <c r="C2" s="1568"/>
      <c r="D2" s="1569"/>
      <c r="F2" s="1437" t="s">
        <v>380</v>
      </c>
      <c r="G2" s="1438"/>
      <c r="H2" s="1438"/>
      <c r="I2" s="1438"/>
      <c r="J2" s="1439"/>
      <c r="K2" s="309"/>
      <c r="L2" s="309"/>
      <c r="M2" s="309"/>
    </row>
    <row r="3" spans="2:51 16384:16384" ht="15.75" customHeight="1" x14ac:dyDescent="0.25">
      <c r="B3" s="1185" t="str">
        <f ca="1">MID(CELL("filename",A1),FIND("]",CELL("filename",A1))+1,256)</f>
        <v>E-1 Off-Site Hedge Baseline</v>
      </c>
      <c r="C3" s="1186"/>
      <c r="D3" s="1187"/>
      <c r="F3" s="1488" t="s">
        <v>263</v>
      </c>
      <c r="G3" s="1489"/>
      <c r="H3" s="1489"/>
      <c r="I3" s="1508">
        <f>'Headline Results'!H48</f>
        <v>16.669627715952004</v>
      </c>
      <c r="J3" s="1509"/>
    </row>
    <row r="4" spans="2:51 16384:16384" ht="15.75" customHeight="1" thickBot="1" x14ac:dyDescent="0.3">
      <c r="B4" s="1188"/>
      <c r="C4" s="1189"/>
      <c r="D4" s="1190"/>
      <c r="F4" s="1583" t="s">
        <v>265</v>
      </c>
      <c r="G4" s="1584"/>
      <c r="H4" s="1584"/>
      <c r="I4" s="1554">
        <f>'Headline Results'!H52</f>
        <v>1.0264549086177341</v>
      </c>
      <c r="J4" s="1555"/>
    </row>
    <row r="5" spans="2:51 16384:16384" ht="22.5" customHeight="1" thickBot="1" x14ac:dyDescent="0.3">
      <c r="F5" s="1582" t="s">
        <v>267</v>
      </c>
      <c r="G5" s="1556"/>
      <c r="H5" s="1556"/>
      <c r="I5" s="1556" t="str" cm="1">
        <f t="array" ref="I5">IF(OR('Trading Summary Hedgerows'!G5:H8="No ▲"), "No - check trading summary ▲", "Yes ✓")</f>
        <v>Yes ✓</v>
      </c>
      <c r="J5" s="1557"/>
    </row>
    <row r="6" spans="2:51 16384:16384" ht="28.95" customHeight="1" x14ac:dyDescent="0.25"/>
    <row r="7" spans="2:51 16384:16384" ht="15.75" customHeight="1" thickBot="1" x14ac:dyDescent="0.3">
      <c r="B7" s="102"/>
      <c r="C7" s="102"/>
      <c r="D7" s="101"/>
    </row>
    <row r="8" spans="2:51 16384:16384" s="33" customFormat="1" ht="31.05" customHeight="1" thickBot="1" x14ac:dyDescent="0.3">
      <c r="B8" s="32"/>
      <c r="C8" s="1561" t="s">
        <v>381</v>
      </c>
      <c r="D8" s="1562"/>
      <c r="E8" s="1563"/>
      <c r="F8" s="1561" t="s">
        <v>269</v>
      </c>
      <c r="G8" s="1563"/>
      <c r="H8" s="1561" t="s">
        <v>357</v>
      </c>
      <c r="I8" s="1563"/>
      <c r="J8" s="1561" t="s">
        <v>271</v>
      </c>
      <c r="K8" s="1562"/>
      <c r="L8" s="1563"/>
      <c r="M8" s="1520" t="s">
        <v>272</v>
      </c>
      <c r="N8" s="134" t="s">
        <v>273</v>
      </c>
      <c r="O8" s="1518" t="s">
        <v>358</v>
      </c>
      <c r="P8" s="1519"/>
      <c r="Q8" s="134" t="s">
        <v>273</v>
      </c>
      <c r="R8" s="107"/>
      <c r="S8" s="1440" t="s">
        <v>274</v>
      </c>
      <c r="T8" s="1441"/>
      <c r="U8" s="1441"/>
      <c r="V8" s="1441"/>
      <c r="W8" s="1441"/>
      <c r="X8" s="1442"/>
      <c r="Y8" s="1440" t="s">
        <v>276</v>
      </c>
      <c r="Z8" s="1442"/>
      <c r="XFD8" s="543"/>
    </row>
    <row r="9" spans="2:51 16384:16384" ht="45" customHeight="1" thickBot="1" x14ac:dyDescent="0.3">
      <c r="B9" s="719" t="s">
        <v>339</v>
      </c>
      <c r="C9" s="132" t="s">
        <v>382</v>
      </c>
      <c r="D9" s="811" t="s">
        <v>161</v>
      </c>
      <c r="E9" s="752" t="s">
        <v>34</v>
      </c>
      <c r="F9" s="132" t="s">
        <v>269</v>
      </c>
      <c r="G9" s="752" t="s">
        <v>286</v>
      </c>
      <c r="H9" s="132" t="s">
        <v>270</v>
      </c>
      <c r="I9" s="752" t="s">
        <v>286</v>
      </c>
      <c r="J9" s="132" t="s">
        <v>271</v>
      </c>
      <c r="K9" s="811" t="s">
        <v>271</v>
      </c>
      <c r="L9" s="752" t="s">
        <v>317</v>
      </c>
      <c r="M9" s="1581"/>
      <c r="N9" s="169" t="s">
        <v>400</v>
      </c>
      <c r="O9" s="853" t="s">
        <v>361</v>
      </c>
      <c r="P9" s="866" t="s">
        <v>358</v>
      </c>
      <c r="Q9" s="169" t="s">
        <v>383</v>
      </c>
      <c r="R9" s="107"/>
      <c r="S9" s="867" t="s">
        <v>384</v>
      </c>
      <c r="T9" s="868" t="s">
        <v>385</v>
      </c>
      <c r="U9" s="869" t="s">
        <v>386</v>
      </c>
      <c r="V9" s="869" t="s">
        <v>387</v>
      </c>
      <c r="W9" s="869" t="s">
        <v>388</v>
      </c>
      <c r="X9" s="870" t="s">
        <v>294</v>
      </c>
      <c r="Y9" s="867" t="s">
        <v>295</v>
      </c>
      <c r="Z9" s="870" t="s">
        <v>296</v>
      </c>
      <c r="AA9" s="43" t="s">
        <v>297</v>
      </c>
      <c r="AB9" s="43" t="s">
        <v>363</v>
      </c>
      <c r="AE9" s="101" t="s">
        <v>280</v>
      </c>
      <c r="AH9" s="124" t="s">
        <v>300</v>
      </c>
      <c r="AI9" s="124" t="s">
        <v>301</v>
      </c>
      <c r="AK9" s="124" t="s">
        <v>303</v>
      </c>
      <c r="AM9" s="124" t="s">
        <v>300</v>
      </c>
      <c r="AN9" s="124" t="s">
        <v>301</v>
      </c>
      <c r="AY9" s="869" t="s">
        <v>386</v>
      </c>
    </row>
    <row r="10" spans="2:51 16384:16384" ht="13.8" x14ac:dyDescent="0.2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3.8" x14ac:dyDescent="0.2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3.8" x14ac:dyDescent="0.2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3.8" x14ac:dyDescent="0.2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3.8" x14ac:dyDescent="0.2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3.8" x14ac:dyDescent="0.2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3.8" x14ac:dyDescent="0.2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3.8" x14ac:dyDescent="0.2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3.8" x14ac:dyDescent="0.2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3.8" x14ac:dyDescent="0.2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3.8" x14ac:dyDescent="0.2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3.8" x14ac:dyDescent="0.2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3.8" x14ac:dyDescent="0.2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3.8" x14ac:dyDescent="0.2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3.8" x14ac:dyDescent="0.2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3.8" x14ac:dyDescent="0.2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3.8" x14ac:dyDescent="0.2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3.8" x14ac:dyDescent="0.2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3.8" x14ac:dyDescent="0.2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3.8" x14ac:dyDescent="0.2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3.8" x14ac:dyDescent="0.2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3.8" x14ac:dyDescent="0.2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3.8" x14ac:dyDescent="0.2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3.8" x14ac:dyDescent="0.2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3.8" x14ac:dyDescent="0.2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3.8" x14ac:dyDescent="0.2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3.8" x14ac:dyDescent="0.2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3.8" x14ac:dyDescent="0.2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3.8" x14ac:dyDescent="0.2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3.8" x14ac:dyDescent="0.2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3.8" x14ac:dyDescent="0.2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3.8" x14ac:dyDescent="0.2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3.8" x14ac:dyDescent="0.2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3.8" x14ac:dyDescent="0.2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3.8" x14ac:dyDescent="0.2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3.8" x14ac:dyDescent="0.2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3.8" x14ac:dyDescent="0.2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3.8" x14ac:dyDescent="0.2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3.8" x14ac:dyDescent="0.2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3.8" x14ac:dyDescent="0.2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3.8" x14ac:dyDescent="0.2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3.8" x14ac:dyDescent="0.2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3.8" x14ac:dyDescent="0.2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3.8" x14ac:dyDescent="0.2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3.8" x14ac:dyDescent="0.2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3.8" x14ac:dyDescent="0.2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3.8" x14ac:dyDescent="0.2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3.8" x14ac:dyDescent="0.2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3.8" x14ac:dyDescent="0.2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3.8" x14ac:dyDescent="0.2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3.8" x14ac:dyDescent="0.2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3.8" x14ac:dyDescent="0.2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3.8" x14ac:dyDescent="0.2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3.8" x14ac:dyDescent="0.2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3.8" x14ac:dyDescent="0.2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3.8" x14ac:dyDescent="0.2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3.8" x14ac:dyDescent="0.2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3.8" x14ac:dyDescent="0.2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3.8" x14ac:dyDescent="0.2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3.8" x14ac:dyDescent="0.2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3.8" x14ac:dyDescent="0.2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3.8" x14ac:dyDescent="0.2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3.8" x14ac:dyDescent="0.2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3.8" x14ac:dyDescent="0.2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3.8" x14ac:dyDescent="0.2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3.8" x14ac:dyDescent="0.2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3.8" x14ac:dyDescent="0.2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3.8" x14ac:dyDescent="0.2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3.8" x14ac:dyDescent="0.2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3.8" x14ac:dyDescent="0.2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3.8" x14ac:dyDescent="0.2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3.8" x14ac:dyDescent="0.2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3.8" x14ac:dyDescent="0.2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3.8" x14ac:dyDescent="0.2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3.8" x14ac:dyDescent="0.2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3.8" x14ac:dyDescent="0.2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3.8" x14ac:dyDescent="0.2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3.8" x14ac:dyDescent="0.2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3.8" x14ac:dyDescent="0.2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3.8" x14ac:dyDescent="0.2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3.8" x14ac:dyDescent="0.2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3.8" x14ac:dyDescent="0.2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3.8" x14ac:dyDescent="0.2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3.8" x14ac:dyDescent="0.2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3.8" x14ac:dyDescent="0.2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3.8" x14ac:dyDescent="0.2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3.8" x14ac:dyDescent="0.2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3.8" x14ac:dyDescent="0.2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3.8" x14ac:dyDescent="0.2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3.8" x14ac:dyDescent="0.2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3.8" x14ac:dyDescent="0.2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3.8" x14ac:dyDescent="0.2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3.8" x14ac:dyDescent="0.2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3.8" x14ac:dyDescent="0.2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3.8" x14ac:dyDescent="0.2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3.8" x14ac:dyDescent="0.2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3.8" x14ac:dyDescent="0.2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3.8" x14ac:dyDescent="0.2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3.8" x14ac:dyDescent="0.2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3.8" x14ac:dyDescent="0.2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3.8" x14ac:dyDescent="0.2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3.8" x14ac:dyDescent="0.2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3.8" x14ac:dyDescent="0.2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3.8" x14ac:dyDescent="0.2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3.8" x14ac:dyDescent="0.2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3.8" x14ac:dyDescent="0.2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3.8" x14ac:dyDescent="0.2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3.8" x14ac:dyDescent="0.2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3.8" x14ac:dyDescent="0.2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3.8" x14ac:dyDescent="0.2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3.8" x14ac:dyDescent="0.2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3.8" x14ac:dyDescent="0.2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3.8" x14ac:dyDescent="0.2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3.8" x14ac:dyDescent="0.2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3.8" x14ac:dyDescent="0.2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3.8" x14ac:dyDescent="0.2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3.8" x14ac:dyDescent="0.2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3.8" x14ac:dyDescent="0.2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3.8" x14ac:dyDescent="0.2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3.8" x14ac:dyDescent="0.2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3.8" x14ac:dyDescent="0.2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3.8" x14ac:dyDescent="0.2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3.8" x14ac:dyDescent="0.2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3.8" x14ac:dyDescent="0.2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3.8" x14ac:dyDescent="0.2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3.8" x14ac:dyDescent="0.2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3.8" x14ac:dyDescent="0.2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3.8" x14ac:dyDescent="0.2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3.8" x14ac:dyDescent="0.2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3.8" x14ac:dyDescent="0.2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3.8" x14ac:dyDescent="0.2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3.8" x14ac:dyDescent="0.2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3.8" x14ac:dyDescent="0.2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3.8" x14ac:dyDescent="0.2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3.8" x14ac:dyDescent="0.2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3.8" x14ac:dyDescent="0.2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3.8" x14ac:dyDescent="0.2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3.8" x14ac:dyDescent="0.2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3.8" x14ac:dyDescent="0.2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3.8" x14ac:dyDescent="0.2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3.8" x14ac:dyDescent="0.2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3.8" x14ac:dyDescent="0.2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3.8" x14ac:dyDescent="0.2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3.8" x14ac:dyDescent="0.2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3.8" x14ac:dyDescent="0.2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3.8" x14ac:dyDescent="0.2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3.8" x14ac:dyDescent="0.2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3.8" x14ac:dyDescent="0.2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3.8" x14ac:dyDescent="0.2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3.8" x14ac:dyDescent="0.2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3.8" x14ac:dyDescent="0.2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3.8" x14ac:dyDescent="0.2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3.8" x14ac:dyDescent="0.2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3.8" x14ac:dyDescent="0.2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3.8" x14ac:dyDescent="0.2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3.8" x14ac:dyDescent="0.2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3.8" x14ac:dyDescent="0.2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3.8" x14ac:dyDescent="0.2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3.8" x14ac:dyDescent="0.2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3.8" x14ac:dyDescent="0.2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3.8" x14ac:dyDescent="0.2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3.8" x14ac:dyDescent="0.2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3.8" x14ac:dyDescent="0.2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3.8" x14ac:dyDescent="0.2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3.8" x14ac:dyDescent="0.2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3.8" x14ac:dyDescent="0.2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3.8" x14ac:dyDescent="0.2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3.8" x14ac:dyDescent="0.2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3.8" x14ac:dyDescent="0.2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3.8" x14ac:dyDescent="0.2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3.8" x14ac:dyDescent="0.2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3.8" x14ac:dyDescent="0.2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3.8" x14ac:dyDescent="0.2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3.8" x14ac:dyDescent="0.2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3.8" x14ac:dyDescent="0.2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3.8" x14ac:dyDescent="0.2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3.8" x14ac:dyDescent="0.2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3.8" x14ac:dyDescent="0.2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3.8" x14ac:dyDescent="0.2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3.8" x14ac:dyDescent="0.2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3.8" x14ac:dyDescent="0.2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3.8" x14ac:dyDescent="0.2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3.8" x14ac:dyDescent="0.2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3.8" x14ac:dyDescent="0.2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3.8" x14ac:dyDescent="0.2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3.8" x14ac:dyDescent="0.2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3.8" x14ac:dyDescent="0.2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3.8" x14ac:dyDescent="0.2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3.8" x14ac:dyDescent="0.2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3.8" x14ac:dyDescent="0.2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3.8" x14ac:dyDescent="0.2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3.8" x14ac:dyDescent="0.2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3.8" x14ac:dyDescent="0.2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3.8" x14ac:dyDescent="0.2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3.8" x14ac:dyDescent="0.2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3.8" x14ac:dyDescent="0.2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3.8" x14ac:dyDescent="0.2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3.8" x14ac:dyDescent="0.2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3.8" x14ac:dyDescent="0.2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3.8" x14ac:dyDescent="0.2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3.8" x14ac:dyDescent="0.2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3.8" x14ac:dyDescent="0.2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3.8" x14ac:dyDescent="0.2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3.8" x14ac:dyDescent="0.2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3.8" x14ac:dyDescent="0.2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3.8" x14ac:dyDescent="0.2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3.8" x14ac:dyDescent="0.2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3.8" x14ac:dyDescent="0.2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3.8" x14ac:dyDescent="0.2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3.8" x14ac:dyDescent="0.2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3.8" x14ac:dyDescent="0.2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3.8" x14ac:dyDescent="0.2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3.8" x14ac:dyDescent="0.2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3.8" x14ac:dyDescent="0.2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3.8" x14ac:dyDescent="0.2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3.8" x14ac:dyDescent="0.2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3.8" x14ac:dyDescent="0.2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3.8" x14ac:dyDescent="0.2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3.8" x14ac:dyDescent="0.2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3.8" x14ac:dyDescent="0.2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3.8" x14ac:dyDescent="0.2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3.8" x14ac:dyDescent="0.2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3.8" x14ac:dyDescent="0.2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3.8" x14ac:dyDescent="0.2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3.8" x14ac:dyDescent="0.2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3.8" x14ac:dyDescent="0.2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3.8" x14ac:dyDescent="0.2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3.8" x14ac:dyDescent="0.2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3.8" x14ac:dyDescent="0.2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3.8" x14ac:dyDescent="0.2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3.8" x14ac:dyDescent="0.2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3.8" x14ac:dyDescent="0.2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3.8" x14ac:dyDescent="0.2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3.8" x14ac:dyDescent="0.2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3.8" x14ac:dyDescent="0.2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3.8" x14ac:dyDescent="0.2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3.8" x14ac:dyDescent="0.2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3.8" x14ac:dyDescent="0.2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3.8" x14ac:dyDescent="0.2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3.8" x14ac:dyDescent="0.2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3.8" x14ac:dyDescent="0.2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3.8" x14ac:dyDescent="0.2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3.8" x14ac:dyDescent="0.2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3.8" x14ac:dyDescent="0.2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3.8" x14ac:dyDescent="0.2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3.8" x14ac:dyDescent="0.2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3.8" x14ac:dyDescent="0.2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4.4" thickBot="1" x14ac:dyDescent="0.3">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4.4" thickBot="1" x14ac:dyDescent="0.3">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3.8" x14ac:dyDescent="0.25">
      <c r="R259" s="133"/>
      <c r="S259" s="133"/>
      <c r="T259" s="133"/>
      <c r="U259" s="133"/>
      <c r="V259" s="133"/>
      <c r="W259" s="133"/>
      <c r="X259" s="133"/>
      <c r="AY259" s="133"/>
    </row>
    <row r="260" spans="2:51" ht="13.8" x14ac:dyDescent="0.25">
      <c r="B260" s="102"/>
      <c r="C260" s="102"/>
    </row>
    <row r="261" spans="2:51" ht="13.8" x14ac:dyDescent="0.25">
      <c r="B261" s="102"/>
      <c r="C261" s="102"/>
    </row>
    <row r="262" spans="2:51" ht="13.8" x14ac:dyDescent="0.25">
      <c r="B262" s="102"/>
      <c r="C262" s="102"/>
    </row>
    <row r="263" spans="2:51" ht="13.8" x14ac:dyDescent="0.25">
      <c r="B263" s="102"/>
      <c r="C263" s="102"/>
    </row>
    <row r="264" spans="2:51" ht="13.8" x14ac:dyDescent="0.25">
      <c r="B264" s="102"/>
      <c r="C264" s="102"/>
    </row>
    <row r="265" spans="2:51" ht="13.8" x14ac:dyDescent="0.25">
      <c r="B265" s="102"/>
      <c r="C265" s="102"/>
    </row>
    <row r="266" spans="2:51" ht="13.8" x14ac:dyDescent="0.25">
      <c r="B266" s="102"/>
      <c r="C266" s="102"/>
    </row>
    <row r="267" spans="2:51" ht="13.8" hidden="1" x14ac:dyDescent="0.25">
      <c r="B267" s="102"/>
      <c r="C267" s="102"/>
    </row>
    <row r="268" spans="2:51" ht="13.8" hidden="1" x14ac:dyDescent="0.25">
      <c r="B268" s="102"/>
      <c r="C268" s="102"/>
    </row>
    <row r="269" spans="2:51" ht="13.8" hidden="1" x14ac:dyDescent="0.25">
      <c r="B269" s="102"/>
      <c r="C269" s="102"/>
    </row>
    <row r="270" spans="2:51" ht="13.8" hidden="1" x14ac:dyDescent="0.25">
      <c r="B270" s="102"/>
      <c r="C270" s="102"/>
    </row>
    <row r="271" spans="2:51" ht="13.8" hidden="1" x14ac:dyDescent="0.25">
      <c r="B271" s="102"/>
      <c r="C271" s="102"/>
    </row>
    <row r="272" spans="2:51" ht="13.8" hidden="1" x14ac:dyDescent="0.25">
      <c r="B272" s="102"/>
      <c r="C272" s="102"/>
    </row>
  </sheetData>
  <sheetProtection algorithmName="SHA-512" hashValue="EibFLIoNCEa9MuUSO2kyP66xF2WLll3KrvgPX14u9yA2rcJG7Kb6MyyLBmBHhCNl23Hm7vMD1BcTILiDlWIRZw==" saltValue="foWEiZXrHnQH47hWPnilUw=="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B2:D2"/>
    <mergeCell ref="F2:J2"/>
    <mergeCell ref="Y8:Z8"/>
    <mergeCell ref="C8:E8"/>
    <mergeCell ref="F8:G8"/>
    <mergeCell ref="H8:I8"/>
    <mergeCell ref="B3:D4"/>
    <mergeCell ref="J8:L8"/>
    <mergeCell ref="S8:X8"/>
    <mergeCell ref="M8:M9"/>
    <mergeCell ref="F3:H3"/>
    <mergeCell ref="F4:H4"/>
    <mergeCell ref="I3:J3"/>
    <mergeCell ref="I4:J4"/>
    <mergeCell ref="F5:H5"/>
    <mergeCell ref="I5:J5"/>
    <mergeCell ref="O8:P8"/>
  </mergeCells>
  <conditionalFormatting sqref="I10:I257">
    <cfRule type="containsText" dxfId="419" priority="43" operator="containsText" text="Error">
      <formula>NOT(ISERROR(SEARCH("Error",I10)))</formula>
    </cfRule>
  </conditionalFormatting>
  <conditionalFormatting sqref="J9:L9 J36:L257 K10:L35">
    <cfRule type="containsText" dxfId="418" priority="42" operator="containsText" text="Spatial">
      <formula>NOT(ISERROR(SEARCH("Spatial",J9)))</formula>
    </cfRule>
  </conditionalFormatting>
  <conditionalFormatting sqref="M10:M257">
    <cfRule type="cellIs" dxfId="417" priority="39" operator="equal">
      <formula>"Like for like or better"</formula>
    </cfRule>
    <cfRule type="cellIs" dxfId="416" priority="40" operator="equal">
      <formula>"Like for like"</formula>
    </cfRule>
    <cfRule type="containsText" dxfId="415" priority="41" operator="containsText" text="Same distinctiveness">
      <formula>NOT(ISERROR(SEARCH("Same distinctiveness",M10)))</formula>
    </cfRule>
  </conditionalFormatting>
  <conditionalFormatting sqref="W10:X257">
    <cfRule type="containsText" dxfId="414" priority="38" operator="containsText" text="Error">
      <formula>NOT(ISERROR(SEARCH("Error",W10)))</formula>
    </cfRule>
  </conditionalFormatting>
  <conditionalFormatting sqref="I3">
    <cfRule type="containsText" dxfId="413" priority="36" operator="containsText" text="Error">
      <formula>NOT(ISERROR(SEARCH("Error",I3)))</formula>
    </cfRule>
    <cfRule type="containsText" dxfId="412" priority="37" operator="containsText" text="Check">
      <formula>NOT(ISERROR(SEARCH("Check",I3)))</formula>
    </cfRule>
  </conditionalFormatting>
  <conditionalFormatting sqref="I4">
    <cfRule type="containsText" dxfId="411" priority="4" operator="containsText" text="Error">
      <formula>NOT(ISERROR(SEARCH("Error",I4)))</formula>
    </cfRule>
    <cfRule type="containsText" dxfId="410" priority="5" operator="containsText" text="Check">
      <formula>NOT(ISERROR(SEARCH("Check",I4)))</formula>
    </cfRule>
  </conditionalFormatting>
  <conditionalFormatting sqref="I5">
    <cfRule type="containsText" dxfId="409" priority="30" operator="containsText" text="No">
      <formula>NOT(ISERROR(SEARCH("No",I5)))</formula>
    </cfRule>
    <cfRule type="containsText" dxfId="408" priority="31" operator="containsText" text="Yes">
      <formula>NOT(ISERROR(SEARCH("Yes",I5)))</formula>
    </cfRule>
  </conditionalFormatting>
  <conditionalFormatting sqref="O10:O257">
    <cfRule type="containsText" dxfId="407" priority="28" operator="containsText" text="Existing Value Not Required">
      <formula>NOT(ISERROR(SEARCH("Existing Value Not Required",O10)))</formula>
    </cfRule>
    <cfRule type="containsText" dxfId="406" priority="29" operator="containsText" text="Existing Value Required">
      <formula>NOT(ISERROR(SEARCH("Existing Value Required",O10)))</formula>
    </cfRule>
  </conditionalFormatting>
  <conditionalFormatting sqref="O10:P10 P11:P255 O11:O257">
    <cfRule type="containsText" dxfId="405" priority="24" operator="containsText" text="Check">
      <formula>NOT(ISERROR(SEARCH("Check",O10)))</formula>
    </cfRule>
    <cfRule type="containsText" dxfId="404" priority="25" operator="containsText" text="Error">
      <formula>NOT(ISERROR(SEARCH("Error",O10)))</formula>
    </cfRule>
  </conditionalFormatting>
  <conditionalFormatting sqref="P10:P255">
    <cfRule type="containsText" dxfId="403" priority="23" operator="containsText" text="Spatial">
      <formula>NOT(ISERROR(SEARCH("Spatial",P10)))</formula>
    </cfRule>
  </conditionalFormatting>
  <conditionalFormatting sqref="P256">
    <cfRule type="containsText" dxfId="402" priority="13" operator="containsText" text="Check">
      <formula>NOT(ISERROR(SEARCH("Check",P256)))</formula>
    </cfRule>
    <cfRule type="containsText" dxfId="401" priority="14" operator="containsText" text="Error">
      <formula>NOT(ISERROR(SEARCH("Error",P256)))</formula>
    </cfRule>
  </conditionalFormatting>
  <conditionalFormatting sqref="P256">
    <cfRule type="containsText" dxfId="400" priority="12" operator="containsText" text="Spatial">
      <formula>NOT(ISERROR(SEARCH("Spatial",P256)))</formula>
    </cfRule>
  </conditionalFormatting>
  <conditionalFormatting sqref="P257">
    <cfRule type="containsText" dxfId="399" priority="10" operator="containsText" text="Check">
      <formula>NOT(ISERROR(SEARCH("Check",P257)))</formula>
    </cfRule>
    <cfRule type="containsText" dxfId="398" priority="11" operator="containsText" text="Error">
      <formula>NOT(ISERROR(SEARCH("Error",P257)))</formula>
    </cfRule>
  </conditionalFormatting>
  <conditionalFormatting sqref="P257">
    <cfRule type="containsText" dxfId="397" priority="9" operator="containsText" text="Spatial">
      <formula>NOT(ISERROR(SEARCH("Spatial",P257)))</formula>
    </cfRule>
  </conditionalFormatting>
  <conditionalFormatting sqref="I10:I257">
    <cfRule type="containsText" dxfId="396" priority="8" operator="containsText" text="Not possible">
      <formula>NOT(ISERROR(SEARCH("Not possible",I10)))</formula>
    </cfRule>
  </conditionalFormatting>
  <conditionalFormatting sqref="U258:V258">
    <cfRule type="containsText" dxfId="395" priority="7" operator="containsText" text="Error">
      <formula>NOT(ISERROR(SEARCH("Error",U258)))</formula>
    </cfRule>
  </conditionalFormatting>
  <conditionalFormatting sqref="I4:J4">
    <cfRule type="cellIs" dxfId="394" priority="3" operator="equal">
      <formula>0</formula>
    </cfRule>
    <cfRule type="cellIs" dxfId="393" priority="6" operator="lessThan">
      <formula>0</formula>
    </cfRule>
  </conditionalFormatting>
  <conditionalFormatting sqref="AY258">
    <cfRule type="containsText" dxfId="392" priority="2" operator="containsText" text="Error">
      <formula>NOT(ISERROR(SEARCH("Error",AY258)))</formula>
    </cfRule>
  </conditionalFormatting>
  <conditionalFormatting sqref="I3:J5">
    <cfRule type="containsText" dxfId="391" priority="1" operator="containsText" text="N/A">
      <formula>NOT(ISERROR(SEARCH("N/A",I3)))</formula>
    </cfRule>
  </conditionalFormatting>
  <dataValidations count="1">
    <dataValidation type="list" allowBlank="1" showInputMessage="1" showErrorMessage="1" sqref="H10:H257" xr:uid="{00000000-0002-0000-1100-000000000000}">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800F3E3C-3EA1-44B0-B5B6-6ED146EB03B0}">
            <xm:f>Start!$F$22</xm:f>
            <x14:dxf>
              <font>
                <color rgb="FF383745"/>
              </font>
              <fill>
                <patternFill>
                  <bgColor rgb="FFFFC000"/>
                </patternFill>
              </fill>
            </x14:dxf>
          </x14:cfRule>
          <x14:cfRule type="cellIs" priority="442"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1000000}">
          <x14:formula1>
            <xm:f>'G-6 Hedgerow Data'!$B$3:$B$15</xm:f>
          </x14:formula1>
          <xm:sqref>D10:D257</xm:sqref>
        </x14:dataValidation>
        <x14:dataValidation type="list" allowBlank="1" showErrorMessage="1" prompt=" _x000a_" xr:uid="{00000000-0002-0000-1100-000002000000}">
          <x14:formula1>
            <xm:f>'G-3 Multipliers'!$L$4:$L$6</xm:f>
          </x14:formula1>
          <xm:sqref>J10:J257</xm:sqref>
        </x14:dataValidation>
        <x14:dataValidation type="list" allowBlank="1" showInputMessage="1" showErrorMessage="1" xr:uid="{B6E470A3-A6F3-46D7-9AEA-19E7F9062841}">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x14ac:dyDescent="0.25"/>
  <cols>
    <col min="1" max="1" width="2.77734375" style="30" customWidth="1"/>
    <col min="2" max="2" width="11.21875" style="30" customWidth="1"/>
    <col min="3" max="3" width="9.21875" style="30" customWidth="1"/>
    <col min="4" max="4" width="60.77734375" style="30" customWidth="1"/>
    <col min="5" max="5" width="10.21875" style="30" customWidth="1"/>
    <col min="6" max="6" width="19.21875" style="30" customWidth="1"/>
    <col min="7" max="7" width="11.77734375" style="30" customWidth="1"/>
    <col min="8" max="8" width="11.5546875" style="30" customWidth="1"/>
    <col min="9" max="9" width="12.5546875" style="30" customWidth="1"/>
    <col min="10" max="10" width="41.77734375" style="30" customWidth="1"/>
    <col min="11" max="11" width="21.21875" style="30" customWidth="1"/>
    <col min="12" max="12" width="12.21875" style="30" customWidth="1"/>
    <col min="13" max="13" width="73.44140625" style="30" customWidth="1"/>
    <col min="14" max="14" width="8.21875" style="30" hidden="1" customWidth="1"/>
    <col min="15" max="17" width="17.77734375" style="30" customWidth="1"/>
    <col min="18" max="18" width="35.5546875" style="30" customWidth="1"/>
    <col min="19" max="19" width="17.77734375" style="30" customWidth="1"/>
    <col min="20" max="20" width="15.21875" style="30" customWidth="1"/>
    <col min="21" max="21" width="15.5546875" style="30" customWidth="1"/>
    <col min="22" max="22" width="25.21875" style="30" customWidth="1"/>
    <col min="23" max="23" width="10.77734375" style="30" customWidth="1"/>
    <col min="24" max="24" width="12.5546875" style="30" customWidth="1"/>
    <col min="25" max="25" width="8.21875" style="30" hidden="1" customWidth="1"/>
    <col min="26" max="26" width="12.77734375" style="30" customWidth="1"/>
    <col min="27" max="28" width="42.5546875" style="30" customWidth="1"/>
    <col min="29" max="29" width="14.77734375" style="30" customWidth="1"/>
    <col min="30" max="30" width="14" style="30" customWidth="1"/>
    <col min="31" max="31" width="8.77734375" style="30" customWidth="1"/>
    <col min="32" max="32" width="10.5546875" style="30" customWidth="1"/>
    <col min="33" max="33" width="10.5546875" style="30" hidden="1" customWidth="1"/>
    <col min="34" max="34" width="15.77734375" style="30" hidden="1" customWidth="1"/>
    <col min="35" max="35" width="8.77734375" style="30" hidden="1" customWidth="1"/>
    <col min="36" max="16384" width="8.77734375" style="30" hidden="1"/>
  </cols>
  <sheetData>
    <row r="1" spans="2:34" ht="15.75" customHeight="1" thickBot="1" x14ac:dyDescent="0.3"/>
    <row r="2" spans="2:34" ht="15.75" customHeight="1" thickBot="1" x14ac:dyDescent="0.35">
      <c r="B2" s="1567" t="str">
        <f>CONCATENATE("Project Name:", " ", Start!F12, "     ", "Map Reference:", " ", Start!K66)</f>
        <v xml:space="preserve">Project Name: Grove Farm Solar     Map Reference: </v>
      </c>
      <c r="C2" s="1568"/>
      <c r="D2" s="1568"/>
      <c r="E2" s="1569"/>
      <c r="I2" s="309"/>
      <c r="J2" s="1437" t="s">
        <v>380</v>
      </c>
      <c r="K2" s="1438"/>
      <c r="L2" s="1438"/>
      <c r="M2" s="1439"/>
      <c r="O2" s="1484" t="str">
        <f>IF(OR(COUNTIF($O$12:O259,"*30+*")&gt;0,COUNTIF($S$12:S259,"*30+*")&gt;0),"Note; Habitat selected has a time to target condition greater than 30 years. Non standard agreement may be required. ⚠","")</f>
        <v/>
      </c>
      <c r="P2" s="1484"/>
      <c r="Q2" s="1484"/>
      <c r="R2" s="1484"/>
      <c r="S2" s="1484"/>
      <c r="T2" s="1484"/>
    </row>
    <row r="3" spans="2:34" ht="15.75" customHeight="1" thickBot="1" x14ac:dyDescent="0.3">
      <c r="B3" s="1570" t="str">
        <f ca="1">MID(CELL("filename",A1),FIND("]",CELL("filename",A1))+1,256)</f>
        <v>E-2 Off-Site Hedge Creation</v>
      </c>
      <c r="C3" s="1571"/>
      <c r="D3" s="1571"/>
      <c r="E3" s="1572"/>
      <c r="I3" s="509"/>
      <c r="J3" s="1488" t="s">
        <v>263</v>
      </c>
      <c r="K3" s="1489"/>
      <c r="L3" s="1489"/>
      <c r="M3" s="512">
        <f>'Headline Results'!H48</f>
        <v>16.669627715952004</v>
      </c>
      <c r="O3" s="1484"/>
      <c r="P3" s="1484"/>
      <c r="Q3" s="1484"/>
      <c r="R3" s="1484"/>
      <c r="S3" s="1484"/>
      <c r="T3" s="1484"/>
    </row>
    <row r="4" spans="2:34" ht="15.75" customHeight="1" thickBot="1" x14ac:dyDescent="0.3">
      <c r="B4" s="1570"/>
      <c r="C4" s="1571"/>
      <c r="D4" s="1571"/>
      <c r="E4" s="1572"/>
      <c r="I4" s="509"/>
      <c r="J4" s="1583" t="s">
        <v>265</v>
      </c>
      <c r="K4" s="1584"/>
      <c r="L4" s="1584"/>
      <c r="M4" s="513">
        <f>'Headline Results'!H52</f>
        <v>1.0264549086177341</v>
      </c>
      <c r="O4" s="1484"/>
      <c r="P4" s="1484"/>
      <c r="Q4" s="1484"/>
      <c r="R4" s="1484"/>
      <c r="S4" s="1484"/>
      <c r="T4" s="1484"/>
    </row>
    <row r="5" spans="2:34" ht="15.75" customHeight="1" thickBot="1" x14ac:dyDescent="0.3">
      <c r="J5" s="1582" t="s">
        <v>267</v>
      </c>
      <c r="K5" s="1556"/>
      <c r="L5" s="1556"/>
      <c r="M5" s="504" t="str" cm="1">
        <f t="array" ref="M5">IF(OR('Trading Summary Hedgerows'!G5:H8="No ▲"), "No - check trading summary ▲", "Yes ✓")</f>
        <v>Yes ✓</v>
      </c>
      <c r="N5" s="509"/>
      <c r="O5" s="1484"/>
      <c r="P5" s="1484"/>
      <c r="Q5" s="1484"/>
      <c r="R5" s="1484"/>
      <c r="S5" s="1484"/>
      <c r="T5" s="1484"/>
    </row>
    <row r="6" spans="2:34" ht="15.75" customHeight="1" x14ac:dyDescent="0.25">
      <c r="O6" s="312"/>
      <c r="P6" s="312"/>
      <c r="Q6" s="312"/>
      <c r="R6" s="312"/>
      <c r="S6" s="312"/>
    </row>
    <row r="7" spans="2:34" ht="15.75" customHeight="1" x14ac:dyDescent="0.25">
      <c r="B7" s="102"/>
      <c r="C7" s="102"/>
    </row>
    <row r="8" spans="2:34" ht="13.8" x14ac:dyDescent="0.25">
      <c r="J8" s="101"/>
      <c r="K8" s="101"/>
      <c r="L8" s="101"/>
      <c r="M8" s="101"/>
      <c r="N8" s="101"/>
      <c r="O8" s="101"/>
      <c r="P8" s="101"/>
      <c r="Q8" s="101"/>
      <c r="R8" s="101"/>
      <c r="S8" s="101"/>
      <c r="T8" s="101"/>
      <c r="V8" s="101"/>
      <c r="W8" s="101"/>
      <c r="X8" s="101"/>
    </row>
    <row r="9" spans="2:34" ht="15.75" customHeight="1" thickBot="1" x14ac:dyDescent="0.3">
      <c r="J9" s="101"/>
      <c r="K9" s="101"/>
      <c r="L9" s="101"/>
      <c r="M9" s="107"/>
      <c r="N9" s="107"/>
      <c r="O9" s="163"/>
      <c r="P9" s="163"/>
      <c r="Q9" s="163"/>
      <c r="R9" s="163"/>
      <c r="S9" s="163"/>
      <c r="T9" s="163"/>
      <c r="U9" s="163"/>
      <c r="V9" s="163"/>
      <c r="W9" s="163"/>
      <c r="X9" s="163"/>
    </row>
    <row r="10" spans="2:34" s="33" customFormat="1" ht="40.049999999999997" customHeight="1" thickBot="1" x14ac:dyDescent="0.3">
      <c r="B10" s="32"/>
      <c r="C10" s="32"/>
      <c r="D10" s="1561" t="s">
        <v>389</v>
      </c>
      <c r="E10" s="1563"/>
      <c r="F10" s="1310" t="s">
        <v>269</v>
      </c>
      <c r="G10" s="1312"/>
      <c r="H10" s="1312" t="s">
        <v>357</v>
      </c>
      <c r="I10" s="1308"/>
      <c r="J10" s="1561" t="s">
        <v>271</v>
      </c>
      <c r="K10" s="1562"/>
      <c r="L10" s="1563"/>
      <c r="M10" s="1310" t="s">
        <v>358</v>
      </c>
      <c r="N10" s="1312"/>
      <c r="O10" s="1312" t="s">
        <v>314</v>
      </c>
      <c r="P10" s="1312"/>
      <c r="Q10" s="1312"/>
      <c r="R10" s="1312"/>
      <c r="S10" s="1312"/>
      <c r="T10" s="1312"/>
      <c r="U10" s="1312" t="s">
        <v>337</v>
      </c>
      <c r="V10" s="1312"/>
      <c r="W10" s="1312"/>
      <c r="X10" s="1308"/>
      <c r="Y10" s="1520" t="s">
        <v>401</v>
      </c>
      <c r="Z10" s="1520" t="s">
        <v>390</v>
      </c>
      <c r="AA10" s="1561" t="s">
        <v>276</v>
      </c>
      <c r="AB10" s="1563"/>
    </row>
    <row r="11" spans="2:34" ht="55.8" thickBot="1" x14ac:dyDescent="0.3">
      <c r="B11" s="719" t="s">
        <v>339</v>
      </c>
      <c r="C11" s="719" t="s">
        <v>391</v>
      </c>
      <c r="D11" s="132" t="s">
        <v>33</v>
      </c>
      <c r="E11" s="752" t="s">
        <v>34</v>
      </c>
      <c r="F11" s="132" t="s">
        <v>269</v>
      </c>
      <c r="G11" s="752" t="s">
        <v>286</v>
      </c>
      <c r="H11" s="873" t="s">
        <v>270</v>
      </c>
      <c r="I11" s="752" t="s">
        <v>286</v>
      </c>
      <c r="J11" s="132" t="s">
        <v>271</v>
      </c>
      <c r="K11" s="811" t="s">
        <v>271</v>
      </c>
      <c r="L11" s="752" t="s">
        <v>317</v>
      </c>
      <c r="M11" s="132" t="s">
        <v>361</v>
      </c>
      <c r="N11" s="752" t="s">
        <v>358</v>
      </c>
      <c r="O11" s="132" t="s">
        <v>392</v>
      </c>
      <c r="P11" s="811" t="s">
        <v>370</v>
      </c>
      <c r="Q11" s="811" t="s">
        <v>320</v>
      </c>
      <c r="R11" s="811" t="s">
        <v>321</v>
      </c>
      <c r="S11" s="811" t="s">
        <v>322</v>
      </c>
      <c r="T11" s="752" t="s">
        <v>397</v>
      </c>
      <c r="U11" s="132" t="s">
        <v>324</v>
      </c>
      <c r="V11" s="811" t="s">
        <v>325</v>
      </c>
      <c r="W11" s="811" t="s">
        <v>326</v>
      </c>
      <c r="X11" s="752" t="s">
        <v>327</v>
      </c>
      <c r="Y11" s="1594"/>
      <c r="Z11" s="1594"/>
      <c r="AA11" s="126" t="s">
        <v>295</v>
      </c>
      <c r="AB11" s="861" t="s">
        <v>296</v>
      </c>
      <c r="AC11" s="43" t="s">
        <v>297</v>
      </c>
      <c r="AD11" s="43" t="s">
        <v>363</v>
      </c>
      <c r="AH11" s="101" t="s">
        <v>280</v>
      </c>
    </row>
    <row r="12" spans="2:34" ht="13.8" x14ac:dyDescent="0.2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3.8" x14ac:dyDescent="0.2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3.8" x14ac:dyDescent="0.2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3.8" x14ac:dyDescent="0.2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3.8" x14ac:dyDescent="0.2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3.8" x14ac:dyDescent="0.2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3.8" x14ac:dyDescent="0.2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3.8" x14ac:dyDescent="0.2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3.8" x14ac:dyDescent="0.2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3.8" x14ac:dyDescent="0.2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3.8" x14ac:dyDescent="0.2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3.8" x14ac:dyDescent="0.2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3.8" x14ac:dyDescent="0.2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3.8" x14ac:dyDescent="0.2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3.8" x14ac:dyDescent="0.2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3.8" x14ac:dyDescent="0.2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3.8" x14ac:dyDescent="0.2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3.8" x14ac:dyDescent="0.2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3.8" x14ac:dyDescent="0.2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3.8" x14ac:dyDescent="0.2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3.8" x14ac:dyDescent="0.2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3.8" x14ac:dyDescent="0.2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3.8" x14ac:dyDescent="0.2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3.8" x14ac:dyDescent="0.2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3.8" x14ac:dyDescent="0.2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3.8" x14ac:dyDescent="0.2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3.8" x14ac:dyDescent="0.2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3.8" x14ac:dyDescent="0.2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3.8" x14ac:dyDescent="0.2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3.8" x14ac:dyDescent="0.2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3.8" x14ac:dyDescent="0.2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3.8" x14ac:dyDescent="0.2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3.8" x14ac:dyDescent="0.2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3.8" x14ac:dyDescent="0.2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3.8" x14ac:dyDescent="0.2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3.8" x14ac:dyDescent="0.2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3.8" x14ac:dyDescent="0.2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3.8" x14ac:dyDescent="0.2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3.8" x14ac:dyDescent="0.2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3.8" x14ac:dyDescent="0.2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3.8" x14ac:dyDescent="0.2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3.8" x14ac:dyDescent="0.2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3.8" x14ac:dyDescent="0.2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3.8" x14ac:dyDescent="0.2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3.8" x14ac:dyDescent="0.2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3.8" x14ac:dyDescent="0.2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3.8" x14ac:dyDescent="0.2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3.8" x14ac:dyDescent="0.2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3.8" x14ac:dyDescent="0.2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3.8" x14ac:dyDescent="0.2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3.8" x14ac:dyDescent="0.2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3.8" x14ac:dyDescent="0.2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3.8" x14ac:dyDescent="0.2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3.8" x14ac:dyDescent="0.2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3.8" x14ac:dyDescent="0.2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3.8" x14ac:dyDescent="0.2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3.8" x14ac:dyDescent="0.2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3.8" x14ac:dyDescent="0.2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3.8" x14ac:dyDescent="0.2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3.8" x14ac:dyDescent="0.2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3.8" x14ac:dyDescent="0.2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3.8" x14ac:dyDescent="0.2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3.8" x14ac:dyDescent="0.2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3.8" x14ac:dyDescent="0.2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3.8" x14ac:dyDescent="0.2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3.8" x14ac:dyDescent="0.2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3.8" x14ac:dyDescent="0.2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3.8" x14ac:dyDescent="0.2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3.8" x14ac:dyDescent="0.2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3.8" x14ac:dyDescent="0.2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3.8" x14ac:dyDescent="0.2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3.8" x14ac:dyDescent="0.2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3.8" x14ac:dyDescent="0.2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3.8" x14ac:dyDescent="0.2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3.8" x14ac:dyDescent="0.2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3.8" x14ac:dyDescent="0.2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3.8" x14ac:dyDescent="0.2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3.8" x14ac:dyDescent="0.2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3.8" x14ac:dyDescent="0.2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3.8" x14ac:dyDescent="0.2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3.8" x14ac:dyDescent="0.2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3.8" x14ac:dyDescent="0.2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3.8" x14ac:dyDescent="0.2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3.8" x14ac:dyDescent="0.2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3.8" x14ac:dyDescent="0.2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3.8" x14ac:dyDescent="0.2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3.8" x14ac:dyDescent="0.2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3.8" x14ac:dyDescent="0.2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3.8" x14ac:dyDescent="0.2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3.8" x14ac:dyDescent="0.2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3.8" x14ac:dyDescent="0.2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3.8" x14ac:dyDescent="0.2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3.8" x14ac:dyDescent="0.2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3.8" x14ac:dyDescent="0.2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3.8" x14ac:dyDescent="0.2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3.8" x14ac:dyDescent="0.2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3.8" x14ac:dyDescent="0.2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3.8" x14ac:dyDescent="0.2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3.8" x14ac:dyDescent="0.2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3.8" x14ac:dyDescent="0.2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3.8" x14ac:dyDescent="0.2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3.8" x14ac:dyDescent="0.2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3.8" x14ac:dyDescent="0.2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3.8" x14ac:dyDescent="0.2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3.8" x14ac:dyDescent="0.2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3.8" x14ac:dyDescent="0.2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3.8" x14ac:dyDescent="0.2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3.8" x14ac:dyDescent="0.2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3.8" x14ac:dyDescent="0.2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3.8" x14ac:dyDescent="0.2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3.8" x14ac:dyDescent="0.2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3.8" x14ac:dyDescent="0.2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3.8" x14ac:dyDescent="0.2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3.8" x14ac:dyDescent="0.2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3.8" x14ac:dyDescent="0.2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3.8" x14ac:dyDescent="0.2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3.8" x14ac:dyDescent="0.2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3.8" x14ac:dyDescent="0.2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3.8" x14ac:dyDescent="0.2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3.8" x14ac:dyDescent="0.2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3.8" x14ac:dyDescent="0.2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3.8" x14ac:dyDescent="0.2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3.8" x14ac:dyDescent="0.2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3.8" x14ac:dyDescent="0.2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3.8" x14ac:dyDescent="0.2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3.8" x14ac:dyDescent="0.2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3.8" x14ac:dyDescent="0.2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3.8" x14ac:dyDescent="0.2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3.8" x14ac:dyDescent="0.2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3.8" x14ac:dyDescent="0.2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3.8" x14ac:dyDescent="0.2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3.8" x14ac:dyDescent="0.2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3.8" x14ac:dyDescent="0.2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3.8" x14ac:dyDescent="0.2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3.8" x14ac:dyDescent="0.2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3.8" x14ac:dyDescent="0.2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3.8" x14ac:dyDescent="0.2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3.8" x14ac:dyDescent="0.2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3.8" x14ac:dyDescent="0.2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3.8" x14ac:dyDescent="0.2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3.8" x14ac:dyDescent="0.2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3.8" x14ac:dyDescent="0.2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3.8" x14ac:dyDescent="0.2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3.8" x14ac:dyDescent="0.2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3.8" x14ac:dyDescent="0.2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3.8" x14ac:dyDescent="0.2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3.8" x14ac:dyDescent="0.2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3.8" x14ac:dyDescent="0.2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3.8" x14ac:dyDescent="0.2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3.8" x14ac:dyDescent="0.2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3.8" x14ac:dyDescent="0.2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3.8" x14ac:dyDescent="0.2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3.8" x14ac:dyDescent="0.2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3.8" x14ac:dyDescent="0.2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3.8" x14ac:dyDescent="0.2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3.8" x14ac:dyDescent="0.2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3.8" x14ac:dyDescent="0.2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3.8" x14ac:dyDescent="0.2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3.8" x14ac:dyDescent="0.2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3.8" x14ac:dyDescent="0.2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3.8" x14ac:dyDescent="0.2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3.8" x14ac:dyDescent="0.2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3.8" x14ac:dyDescent="0.2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3.8" x14ac:dyDescent="0.2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3.8" x14ac:dyDescent="0.2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3.8" x14ac:dyDescent="0.2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3.8" x14ac:dyDescent="0.2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3.8" x14ac:dyDescent="0.2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3.8" x14ac:dyDescent="0.2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3.8" x14ac:dyDescent="0.2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3.8" x14ac:dyDescent="0.2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3.8" x14ac:dyDescent="0.2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3.8" x14ac:dyDescent="0.2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3.8" x14ac:dyDescent="0.2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3.8" x14ac:dyDescent="0.2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3.8" x14ac:dyDescent="0.2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3.8" x14ac:dyDescent="0.2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3.8" x14ac:dyDescent="0.2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3.8" x14ac:dyDescent="0.2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3.8" x14ac:dyDescent="0.2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3.8" x14ac:dyDescent="0.2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3.8" x14ac:dyDescent="0.2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3.8" x14ac:dyDescent="0.2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3.8" x14ac:dyDescent="0.2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3.8" x14ac:dyDescent="0.2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3.8" x14ac:dyDescent="0.2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3.8" x14ac:dyDescent="0.2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3.8" x14ac:dyDescent="0.2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3.8" x14ac:dyDescent="0.2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3.8" x14ac:dyDescent="0.2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3.8" x14ac:dyDescent="0.2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3.8" x14ac:dyDescent="0.2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3.8" x14ac:dyDescent="0.2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3.8" x14ac:dyDescent="0.2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3.8" x14ac:dyDescent="0.2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3.8" x14ac:dyDescent="0.2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3.8" x14ac:dyDescent="0.2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3.8" x14ac:dyDescent="0.2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3.8" x14ac:dyDescent="0.2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3.8" x14ac:dyDescent="0.2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3.8" x14ac:dyDescent="0.2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3.8" x14ac:dyDescent="0.2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3.8" x14ac:dyDescent="0.2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3.8" x14ac:dyDescent="0.2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3.8" x14ac:dyDescent="0.2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3.8" x14ac:dyDescent="0.2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3.8" x14ac:dyDescent="0.2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3.8" x14ac:dyDescent="0.2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3.8" x14ac:dyDescent="0.2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3.8" x14ac:dyDescent="0.2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3.8" x14ac:dyDescent="0.2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3.8" x14ac:dyDescent="0.2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3.8" x14ac:dyDescent="0.2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3.8" x14ac:dyDescent="0.2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3.8" x14ac:dyDescent="0.2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3.8" x14ac:dyDescent="0.2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3.8" x14ac:dyDescent="0.2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3.8" x14ac:dyDescent="0.2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3.8" x14ac:dyDescent="0.2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3.8" x14ac:dyDescent="0.2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3.8" x14ac:dyDescent="0.2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3.8" x14ac:dyDescent="0.2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3.8" x14ac:dyDescent="0.2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3.8" x14ac:dyDescent="0.2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3.8" x14ac:dyDescent="0.2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3.8" x14ac:dyDescent="0.2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3.8" x14ac:dyDescent="0.2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3.8" x14ac:dyDescent="0.2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3.8" x14ac:dyDescent="0.2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3.8" x14ac:dyDescent="0.2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3.8" x14ac:dyDescent="0.2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3.8" x14ac:dyDescent="0.2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3.8" x14ac:dyDescent="0.2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3.8" x14ac:dyDescent="0.2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3.8" x14ac:dyDescent="0.2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3.8" x14ac:dyDescent="0.2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3.8" x14ac:dyDescent="0.2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3.8" x14ac:dyDescent="0.2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3.8" x14ac:dyDescent="0.2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3.8" x14ac:dyDescent="0.2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3.8" x14ac:dyDescent="0.2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3.8" x14ac:dyDescent="0.2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3.8" x14ac:dyDescent="0.2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3.8" x14ac:dyDescent="0.2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3.8" x14ac:dyDescent="0.2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3.8" x14ac:dyDescent="0.2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3.8" x14ac:dyDescent="0.2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4.4" thickBot="1" x14ac:dyDescent="0.3">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4.4" thickBot="1" x14ac:dyDescent="0.3">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3"/>
      <c r="X260" s="1593"/>
      <c r="Y260" s="366">
        <f>SUM(Y12:Y259)</f>
        <v>0</v>
      </c>
      <c r="Z260" s="366">
        <f>SUM(Z12:Z259)</f>
        <v>0</v>
      </c>
      <c r="AA260" s="34"/>
      <c r="AB260" s="34"/>
    </row>
    <row r="261" spans="2:34" ht="28.95" customHeight="1" x14ac:dyDescent="0.25">
      <c r="E261" s="1587"/>
      <c r="F261" s="1587"/>
      <c r="G261" s="1587"/>
      <c r="H261" s="1587"/>
      <c r="I261" s="1587"/>
      <c r="J261" s="1587"/>
    </row>
    <row r="262" spans="2:34" ht="27" customHeight="1" x14ac:dyDescent="0.25"/>
    <row r="263" spans="2:34" ht="13.8" x14ac:dyDescent="0.25"/>
    <row r="264" spans="2:34" ht="13.8" x14ac:dyDescent="0.25"/>
    <row r="265" spans="2:34" ht="13.8" x14ac:dyDescent="0.25"/>
    <row r="266" spans="2:34" ht="13.8" hidden="1" x14ac:dyDescent="0.25"/>
    <row r="267" spans="2:34" ht="13.8" hidden="1" x14ac:dyDescent="0.25"/>
    <row r="268" spans="2:34" ht="13.8" hidden="1" x14ac:dyDescent="0.25"/>
  </sheetData>
  <sheetProtection algorithmName="SHA-512" hashValue="FRtbmhlIkmh2V7BhXKwdWaUOT1mitPX2eGjEuZYumZLssGCjw8NMChr3rJJ6kbL6DvPiUxpJQgesJbJyENEcCA==" saltValue="fqs255XNdO7HeBgPVNORS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W260:X260"/>
    <mergeCell ref="E261:J261"/>
    <mergeCell ref="Y10:Y11"/>
    <mergeCell ref="AA10:AB10"/>
    <mergeCell ref="J10:L10"/>
    <mergeCell ref="U10:X10"/>
    <mergeCell ref="Z10:Z11"/>
    <mergeCell ref="B2:E2"/>
    <mergeCell ref="B3:E4"/>
    <mergeCell ref="D10:E10"/>
    <mergeCell ref="M10:N10"/>
    <mergeCell ref="O10:T10"/>
    <mergeCell ref="F10:G10"/>
    <mergeCell ref="H10:I10"/>
    <mergeCell ref="O2:T5"/>
    <mergeCell ref="J3:L3"/>
    <mergeCell ref="J4:L4"/>
    <mergeCell ref="J2:M2"/>
    <mergeCell ref="J5:L5"/>
  </mergeCells>
  <conditionalFormatting sqref="Y12">
    <cfRule type="containsText" dxfId="388" priority="144" operator="containsText" text="Existing Value Not Required">
      <formula>NOT(ISERROR(SEARCH("Existing Value Not Required",Y12)))</formula>
    </cfRule>
    <cfRule type="containsText" dxfId="387" priority="145" operator="containsText" text="Existing Value Required">
      <formula>NOT(ISERROR(SEARCH("Existing Value Required",Y12)))</formula>
    </cfRule>
  </conditionalFormatting>
  <conditionalFormatting sqref="M12:M259">
    <cfRule type="containsText" dxfId="386" priority="140" operator="containsText" text="Existing Value Not Required">
      <formula>NOT(ISERROR(SEARCH("Existing Value Not Required",M12)))</formula>
    </cfRule>
    <cfRule type="containsText" dxfId="385" priority="141" operator="containsText" text="Existing Value Required">
      <formula>NOT(ISERROR(SEARCH("Existing Value Required",M12)))</formula>
    </cfRule>
  </conditionalFormatting>
  <conditionalFormatting sqref="Y13:Y259">
    <cfRule type="containsText" dxfId="384" priority="138" operator="containsText" text="Existing Value Not Required">
      <formula>NOT(ISERROR(SEARCH("Existing Value Not Required",Y13)))</formula>
    </cfRule>
    <cfRule type="containsText" dxfId="383" priority="139" operator="containsText" text="Existing Value Required">
      <formula>NOT(ISERROR(SEARCH("Existing Value Required",Y13)))</formula>
    </cfRule>
  </conditionalFormatting>
  <conditionalFormatting sqref="M13:M259">
    <cfRule type="containsText" dxfId="382" priority="136" operator="containsText" text="Existing Value Not Required">
      <formula>NOT(ISERROR(SEARCH("Existing Value Not Required",M13)))</formula>
    </cfRule>
    <cfRule type="containsText" dxfId="381" priority="137" operator="containsText" text="Existing Value Required">
      <formula>NOT(ISERROR(SEARCH("Existing Value Required",M13)))</formula>
    </cfRule>
  </conditionalFormatting>
  <conditionalFormatting sqref="I12:Y259">
    <cfRule type="containsText" dxfId="380" priority="135" operator="containsText" text="Error">
      <formula>NOT(ISERROR(SEARCH("Error",I12)))</formula>
    </cfRule>
  </conditionalFormatting>
  <conditionalFormatting sqref="K12:L259">
    <cfRule type="containsText" dxfId="379" priority="134" operator="containsText" text="Spatial">
      <formula>NOT(ISERROR(SEARCH("Spatial",K12)))</formula>
    </cfRule>
  </conditionalFormatting>
  <conditionalFormatting sqref="N12:N259">
    <cfRule type="containsText" dxfId="378" priority="133" operator="containsText" text="Spatial">
      <formula>NOT(ISERROR(SEARCH("Spatial",N12)))</formula>
    </cfRule>
  </conditionalFormatting>
  <conditionalFormatting sqref="O6:S6 O2">
    <cfRule type="containsText" dxfId="377" priority="132" operator="containsText" text="Note">
      <formula>NOT(ISERROR(SEARCH("Note",O2)))</formula>
    </cfRule>
  </conditionalFormatting>
  <conditionalFormatting sqref="R12:Y259">
    <cfRule type="containsText" dxfId="376" priority="122" operator="containsText" text="30+">
      <formula>NOT(ISERROR(SEARCH("30+",R12)))</formula>
    </cfRule>
    <cfRule type="containsText" dxfId="375" priority="131" operator="containsText" text="Check">
      <formula>NOT(ISERROR(SEARCH("Check",R12)))</formula>
    </cfRule>
  </conditionalFormatting>
  <conditionalFormatting sqref="V12:V259">
    <cfRule type="beginsWith" dxfId="374" priority="130" operator="beginsWith" text="No">
      <formula>LEFT(V12,LEN("No"))="No"</formula>
    </cfRule>
  </conditionalFormatting>
  <conditionalFormatting sqref="E261:J261">
    <cfRule type="containsText" dxfId="373" priority="129" operator="containsText" text="Check">
      <formula>NOT(ISERROR(SEARCH("Check",E261)))</formula>
    </cfRule>
  </conditionalFormatting>
  <conditionalFormatting sqref="M17">
    <cfRule type="containsText" dxfId="372" priority="127" operator="containsText" text="Existing Value Not Required">
      <formula>NOT(ISERROR(SEARCH("Existing Value Not Required",M17)))</formula>
    </cfRule>
    <cfRule type="containsText" dxfId="371" priority="128" operator="containsText" text="Existing Value Required">
      <formula>NOT(ISERROR(SEARCH("Existing Value Required",M17)))</formula>
    </cfRule>
  </conditionalFormatting>
  <conditionalFormatting sqref="M18">
    <cfRule type="containsText" dxfId="370" priority="125" operator="containsText" text="Existing Value Not Required">
      <formula>NOT(ISERROR(SEARCH("Existing Value Not Required",M18)))</formula>
    </cfRule>
    <cfRule type="containsText" dxfId="369" priority="126" operator="containsText" text="Existing Value Required">
      <formula>NOT(ISERROR(SEARCH("Existing Value Required",M18)))</formula>
    </cfRule>
  </conditionalFormatting>
  <conditionalFormatting sqref="M19">
    <cfRule type="containsText" dxfId="368" priority="123" operator="containsText" text="Existing Value Not Required">
      <formula>NOT(ISERROR(SEARCH("Existing Value Not Required",M19)))</formula>
    </cfRule>
    <cfRule type="containsText" dxfId="367" priority="124" operator="containsText" text="Existing Value Required">
      <formula>NOT(ISERROR(SEARCH("Existing Value Required",M19)))</formula>
    </cfRule>
  </conditionalFormatting>
  <conditionalFormatting sqref="M20:M24">
    <cfRule type="containsText" dxfId="366" priority="120" operator="containsText" text="Existing Value Not Required">
      <formula>NOT(ISERROR(SEARCH("Existing Value Not Required",M20)))</formula>
    </cfRule>
    <cfRule type="containsText" dxfId="365" priority="121" operator="containsText" text="Existing Value Required">
      <formula>NOT(ISERROR(SEARCH("Existing Value Required",M20)))</formula>
    </cfRule>
  </conditionalFormatting>
  <conditionalFormatting sqref="M25">
    <cfRule type="containsText" dxfId="364" priority="118" operator="containsText" text="Existing Value Not Required">
      <formula>NOT(ISERROR(SEARCH("Existing Value Not Required",M25)))</formula>
    </cfRule>
    <cfRule type="containsText" dxfId="363" priority="119" operator="containsText" text="Existing Value Required">
      <formula>NOT(ISERROR(SEARCH("Existing Value Required",M25)))</formula>
    </cfRule>
  </conditionalFormatting>
  <conditionalFormatting sqref="M26">
    <cfRule type="containsText" dxfId="362" priority="116" operator="containsText" text="Existing Value Not Required">
      <formula>NOT(ISERROR(SEARCH("Existing Value Not Required",M26)))</formula>
    </cfRule>
    <cfRule type="containsText" dxfId="361" priority="117" operator="containsText" text="Existing Value Required">
      <formula>NOT(ISERROR(SEARCH("Existing Value Required",M26)))</formula>
    </cfRule>
  </conditionalFormatting>
  <conditionalFormatting sqref="M27">
    <cfRule type="containsText" dxfId="360" priority="114" operator="containsText" text="Existing Value Not Required">
      <formula>NOT(ISERROR(SEARCH("Existing Value Not Required",M27)))</formula>
    </cfRule>
    <cfRule type="containsText" dxfId="359" priority="115" operator="containsText" text="Existing Value Required">
      <formula>NOT(ISERROR(SEARCH("Existing Value Required",M27)))</formula>
    </cfRule>
  </conditionalFormatting>
  <conditionalFormatting sqref="M17">
    <cfRule type="containsText" dxfId="358" priority="112" operator="containsText" text="Existing Value Not Required">
      <formula>NOT(ISERROR(SEARCH("Existing Value Not Required",M17)))</formula>
    </cfRule>
    <cfRule type="containsText" dxfId="357" priority="113" operator="containsText" text="Existing Value Required">
      <formula>NOT(ISERROR(SEARCH("Existing Value Required",M17)))</formula>
    </cfRule>
  </conditionalFormatting>
  <conditionalFormatting sqref="M18">
    <cfRule type="containsText" dxfId="356" priority="110" operator="containsText" text="Existing Value Not Required">
      <formula>NOT(ISERROR(SEARCH("Existing Value Not Required",M18)))</formula>
    </cfRule>
    <cfRule type="containsText" dxfId="355" priority="111" operator="containsText" text="Existing Value Required">
      <formula>NOT(ISERROR(SEARCH("Existing Value Required",M18)))</formula>
    </cfRule>
  </conditionalFormatting>
  <conditionalFormatting sqref="M19">
    <cfRule type="containsText" dxfId="354" priority="108" operator="containsText" text="Existing Value Not Required">
      <formula>NOT(ISERROR(SEARCH("Existing Value Not Required",M19)))</formula>
    </cfRule>
    <cfRule type="containsText" dxfId="353" priority="109" operator="containsText" text="Existing Value Required">
      <formula>NOT(ISERROR(SEARCH("Existing Value Required",M19)))</formula>
    </cfRule>
  </conditionalFormatting>
  <conditionalFormatting sqref="M20">
    <cfRule type="containsText" dxfId="352" priority="106" operator="containsText" text="Existing Value Not Required">
      <formula>NOT(ISERROR(SEARCH("Existing Value Not Required",M20)))</formula>
    </cfRule>
    <cfRule type="containsText" dxfId="351" priority="107" operator="containsText" text="Existing Value Required">
      <formula>NOT(ISERROR(SEARCH("Existing Value Required",M20)))</formula>
    </cfRule>
  </conditionalFormatting>
  <conditionalFormatting sqref="M21">
    <cfRule type="containsText" dxfId="350" priority="104" operator="containsText" text="Existing Value Not Required">
      <formula>NOT(ISERROR(SEARCH("Existing Value Not Required",M21)))</formula>
    </cfRule>
    <cfRule type="containsText" dxfId="349" priority="105" operator="containsText" text="Existing Value Required">
      <formula>NOT(ISERROR(SEARCH("Existing Value Required",M21)))</formula>
    </cfRule>
  </conditionalFormatting>
  <conditionalFormatting sqref="M27">
    <cfRule type="containsText" dxfId="348" priority="102" operator="containsText" text="Existing Value Not Required">
      <formula>NOT(ISERROR(SEARCH("Existing Value Not Required",M27)))</formula>
    </cfRule>
    <cfRule type="containsText" dxfId="347" priority="103" operator="containsText" text="Existing Value Required">
      <formula>NOT(ISERROR(SEARCH("Existing Value Required",M27)))</formula>
    </cfRule>
  </conditionalFormatting>
  <conditionalFormatting sqref="M22">
    <cfRule type="containsText" dxfId="346" priority="100" operator="containsText" text="Existing Value Not Required">
      <formula>NOT(ISERROR(SEARCH("Existing Value Not Required",M22)))</formula>
    </cfRule>
    <cfRule type="containsText" dxfId="345" priority="101" operator="containsText" text="Existing Value Required">
      <formula>NOT(ISERROR(SEARCH("Existing Value Required",M22)))</formula>
    </cfRule>
  </conditionalFormatting>
  <conditionalFormatting sqref="M23">
    <cfRule type="containsText" dxfId="344" priority="98" operator="containsText" text="Existing Value Not Required">
      <formula>NOT(ISERROR(SEARCH("Existing Value Not Required",M23)))</formula>
    </cfRule>
    <cfRule type="containsText" dxfId="343" priority="99" operator="containsText" text="Existing Value Required">
      <formula>NOT(ISERROR(SEARCH("Existing Value Required",M23)))</formula>
    </cfRule>
  </conditionalFormatting>
  <conditionalFormatting sqref="M24">
    <cfRule type="containsText" dxfId="342" priority="96" operator="containsText" text="Existing Value Not Required">
      <formula>NOT(ISERROR(SEARCH("Existing Value Not Required",M24)))</formula>
    </cfRule>
    <cfRule type="containsText" dxfId="341" priority="97" operator="containsText" text="Existing Value Required">
      <formula>NOT(ISERROR(SEARCH("Existing Value Required",M24)))</formula>
    </cfRule>
  </conditionalFormatting>
  <conditionalFormatting sqref="M27">
    <cfRule type="containsText" dxfId="340" priority="94" operator="containsText" text="Existing Value Not Required">
      <formula>NOT(ISERROR(SEARCH("Existing Value Not Required",M27)))</formula>
    </cfRule>
    <cfRule type="containsText" dxfId="339" priority="95" operator="containsText" text="Existing Value Required">
      <formula>NOT(ISERROR(SEARCH("Existing Value Required",M27)))</formula>
    </cfRule>
  </conditionalFormatting>
  <conditionalFormatting sqref="M25">
    <cfRule type="containsText" dxfId="338" priority="92" operator="containsText" text="Existing Value Not Required">
      <formula>NOT(ISERROR(SEARCH("Existing Value Not Required",M25)))</formula>
    </cfRule>
    <cfRule type="containsText" dxfId="337" priority="93" operator="containsText" text="Existing Value Required">
      <formula>NOT(ISERROR(SEARCH("Existing Value Required",M25)))</formula>
    </cfRule>
  </conditionalFormatting>
  <conditionalFormatting sqref="M26">
    <cfRule type="containsText" dxfId="336" priority="90" operator="containsText" text="Existing Value Not Required">
      <formula>NOT(ISERROR(SEARCH("Existing Value Not Required",M26)))</formula>
    </cfRule>
    <cfRule type="containsText" dxfId="335" priority="91" operator="containsText" text="Existing Value Required">
      <formula>NOT(ISERROR(SEARCH("Existing Value Required",M26)))</formula>
    </cfRule>
  </conditionalFormatting>
  <conditionalFormatting sqref="M17">
    <cfRule type="containsText" dxfId="334" priority="88" operator="containsText" text="Existing Value Not Required">
      <formula>NOT(ISERROR(SEARCH("Existing Value Not Required",M17)))</formula>
    </cfRule>
    <cfRule type="containsText" dxfId="333" priority="89" operator="containsText" text="Existing Value Required">
      <formula>NOT(ISERROR(SEARCH("Existing Value Required",M17)))</formula>
    </cfRule>
  </conditionalFormatting>
  <conditionalFormatting sqref="M18">
    <cfRule type="containsText" dxfId="332" priority="86" operator="containsText" text="Existing Value Not Required">
      <formula>NOT(ISERROR(SEARCH("Existing Value Not Required",M18)))</formula>
    </cfRule>
    <cfRule type="containsText" dxfId="331" priority="87" operator="containsText" text="Existing Value Required">
      <formula>NOT(ISERROR(SEARCH("Existing Value Required",M18)))</formula>
    </cfRule>
  </conditionalFormatting>
  <conditionalFormatting sqref="M19">
    <cfRule type="containsText" dxfId="330" priority="84" operator="containsText" text="Existing Value Not Required">
      <formula>NOT(ISERROR(SEARCH("Existing Value Not Required",M19)))</formula>
    </cfRule>
    <cfRule type="containsText" dxfId="329" priority="85" operator="containsText" text="Existing Value Required">
      <formula>NOT(ISERROR(SEARCH("Existing Value Required",M19)))</formula>
    </cfRule>
  </conditionalFormatting>
  <conditionalFormatting sqref="M20">
    <cfRule type="containsText" dxfId="328" priority="82" operator="containsText" text="Existing Value Not Required">
      <formula>NOT(ISERROR(SEARCH("Existing Value Not Required",M20)))</formula>
    </cfRule>
    <cfRule type="containsText" dxfId="327" priority="83" operator="containsText" text="Existing Value Required">
      <formula>NOT(ISERROR(SEARCH("Existing Value Required",M20)))</formula>
    </cfRule>
  </conditionalFormatting>
  <conditionalFormatting sqref="M21">
    <cfRule type="containsText" dxfId="326" priority="80" operator="containsText" text="Existing Value Not Required">
      <formula>NOT(ISERROR(SEARCH("Existing Value Not Required",M21)))</formula>
    </cfRule>
    <cfRule type="containsText" dxfId="325" priority="81" operator="containsText" text="Existing Value Required">
      <formula>NOT(ISERROR(SEARCH("Existing Value Required",M21)))</formula>
    </cfRule>
  </conditionalFormatting>
  <conditionalFormatting sqref="M22">
    <cfRule type="containsText" dxfId="324" priority="78" operator="containsText" text="Existing Value Not Required">
      <formula>NOT(ISERROR(SEARCH("Existing Value Not Required",M22)))</formula>
    </cfRule>
    <cfRule type="containsText" dxfId="323" priority="79" operator="containsText" text="Existing Value Required">
      <formula>NOT(ISERROR(SEARCH("Existing Value Required",M22)))</formula>
    </cfRule>
  </conditionalFormatting>
  <conditionalFormatting sqref="M23">
    <cfRule type="containsText" dxfId="322" priority="76" operator="containsText" text="Existing Value Not Required">
      <formula>NOT(ISERROR(SEARCH("Existing Value Not Required",M23)))</formula>
    </cfRule>
    <cfRule type="containsText" dxfId="321" priority="77" operator="containsText" text="Existing Value Required">
      <formula>NOT(ISERROR(SEARCH("Existing Value Required",M23)))</formula>
    </cfRule>
  </conditionalFormatting>
  <conditionalFormatting sqref="M24">
    <cfRule type="containsText" dxfId="320" priority="74" operator="containsText" text="Existing Value Not Required">
      <formula>NOT(ISERROR(SEARCH("Existing Value Not Required",M24)))</formula>
    </cfRule>
    <cfRule type="containsText" dxfId="319" priority="75" operator="containsText" text="Existing Value Required">
      <formula>NOT(ISERROR(SEARCH("Existing Value Required",M24)))</formula>
    </cfRule>
  </conditionalFormatting>
  <conditionalFormatting sqref="M25">
    <cfRule type="containsText" dxfId="318" priority="72" operator="containsText" text="Existing Value Not Required">
      <formula>NOT(ISERROR(SEARCH("Existing Value Not Required",M25)))</formula>
    </cfRule>
    <cfRule type="containsText" dxfId="317" priority="73" operator="containsText" text="Existing Value Required">
      <formula>NOT(ISERROR(SEARCH("Existing Value Required",M25)))</formula>
    </cfRule>
  </conditionalFormatting>
  <conditionalFormatting sqref="M26">
    <cfRule type="containsText" dxfId="316" priority="70" operator="containsText" text="Existing Value Not Required">
      <formula>NOT(ISERROR(SEARCH("Existing Value Not Required",M26)))</formula>
    </cfRule>
    <cfRule type="containsText" dxfId="315" priority="71" operator="containsText" text="Existing Value Required">
      <formula>NOT(ISERROR(SEARCH("Existing Value Required",M26)))</formula>
    </cfRule>
  </conditionalFormatting>
  <conditionalFormatting sqref="M27">
    <cfRule type="containsText" dxfId="314" priority="68" operator="containsText" text="Existing Value Not Required">
      <formula>NOT(ISERROR(SEARCH("Existing Value Not Required",M27)))</formula>
    </cfRule>
    <cfRule type="containsText" dxfId="313" priority="69" operator="containsText" text="Existing Value Required">
      <formula>NOT(ISERROR(SEARCH("Existing Value Required",M27)))</formula>
    </cfRule>
  </conditionalFormatting>
  <conditionalFormatting sqref="M17">
    <cfRule type="containsText" dxfId="312" priority="66" operator="containsText" text="Existing Value Not Required">
      <formula>NOT(ISERROR(SEARCH("Existing Value Not Required",M17)))</formula>
    </cfRule>
    <cfRule type="containsText" dxfId="311" priority="67" operator="containsText" text="Existing Value Required">
      <formula>NOT(ISERROR(SEARCH("Existing Value Required",M17)))</formula>
    </cfRule>
  </conditionalFormatting>
  <conditionalFormatting sqref="M18">
    <cfRule type="containsText" dxfId="310" priority="64" operator="containsText" text="Existing Value Not Required">
      <formula>NOT(ISERROR(SEARCH("Existing Value Not Required",M18)))</formula>
    </cfRule>
    <cfRule type="containsText" dxfId="309" priority="65" operator="containsText" text="Existing Value Required">
      <formula>NOT(ISERROR(SEARCH("Existing Value Required",M18)))</formula>
    </cfRule>
  </conditionalFormatting>
  <conditionalFormatting sqref="M19">
    <cfRule type="containsText" dxfId="308" priority="62" operator="containsText" text="Existing Value Not Required">
      <formula>NOT(ISERROR(SEARCH("Existing Value Not Required",M19)))</formula>
    </cfRule>
    <cfRule type="containsText" dxfId="307" priority="63" operator="containsText" text="Existing Value Required">
      <formula>NOT(ISERROR(SEARCH("Existing Value Required",M19)))</formula>
    </cfRule>
  </conditionalFormatting>
  <conditionalFormatting sqref="M20">
    <cfRule type="containsText" dxfId="306" priority="60" operator="containsText" text="Existing Value Not Required">
      <formula>NOT(ISERROR(SEARCH("Existing Value Not Required",M20)))</formula>
    </cfRule>
    <cfRule type="containsText" dxfId="305" priority="61" operator="containsText" text="Existing Value Required">
      <formula>NOT(ISERROR(SEARCH("Existing Value Required",M20)))</formula>
    </cfRule>
  </conditionalFormatting>
  <conditionalFormatting sqref="M27">
    <cfRule type="containsText" dxfId="304" priority="58" operator="containsText" text="Existing Value Not Required">
      <formula>NOT(ISERROR(SEARCH("Existing Value Not Required",M27)))</formula>
    </cfRule>
    <cfRule type="containsText" dxfId="303" priority="59" operator="containsText" text="Existing Value Required">
      <formula>NOT(ISERROR(SEARCH("Existing Value Required",M27)))</formula>
    </cfRule>
  </conditionalFormatting>
  <conditionalFormatting sqref="M26">
    <cfRule type="containsText" dxfId="302" priority="56" operator="containsText" text="Existing Value Not Required">
      <formula>NOT(ISERROR(SEARCH("Existing Value Not Required",M26)))</formula>
    </cfRule>
    <cfRule type="containsText" dxfId="301" priority="57" operator="containsText" text="Existing Value Required">
      <formula>NOT(ISERROR(SEARCH("Existing Value Required",M26)))</formula>
    </cfRule>
  </conditionalFormatting>
  <conditionalFormatting sqref="M25">
    <cfRule type="containsText" dxfId="300" priority="54" operator="containsText" text="Existing Value Not Required">
      <formula>NOT(ISERROR(SEARCH("Existing Value Not Required",M25)))</formula>
    </cfRule>
    <cfRule type="containsText" dxfId="299" priority="55" operator="containsText" text="Existing Value Required">
      <formula>NOT(ISERROR(SEARCH("Existing Value Required",M25)))</formula>
    </cfRule>
  </conditionalFormatting>
  <conditionalFormatting sqref="M24">
    <cfRule type="containsText" dxfId="298" priority="52" operator="containsText" text="Existing Value Not Required">
      <formula>NOT(ISERROR(SEARCH("Existing Value Not Required",M24)))</formula>
    </cfRule>
    <cfRule type="containsText" dxfId="297" priority="53" operator="containsText" text="Existing Value Required">
      <formula>NOT(ISERROR(SEARCH("Existing Value Required",M24)))</formula>
    </cfRule>
  </conditionalFormatting>
  <conditionalFormatting sqref="M23">
    <cfRule type="containsText" dxfId="296" priority="50" operator="containsText" text="Existing Value Not Required">
      <formula>NOT(ISERROR(SEARCH("Existing Value Not Required",M23)))</formula>
    </cfRule>
    <cfRule type="containsText" dxfId="295" priority="51" operator="containsText" text="Existing Value Required">
      <formula>NOT(ISERROR(SEARCH("Existing Value Required",M23)))</formula>
    </cfRule>
  </conditionalFormatting>
  <conditionalFormatting sqref="M22">
    <cfRule type="containsText" dxfId="294" priority="48" operator="containsText" text="Existing Value Not Required">
      <formula>NOT(ISERROR(SEARCH("Existing Value Not Required",M22)))</formula>
    </cfRule>
    <cfRule type="containsText" dxfId="293" priority="49" operator="containsText" text="Existing Value Required">
      <formula>NOT(ISERROR(SEARCH("Existing Value Required",M22)))</formula>
    </cfRule>
  </conditionalFormatting>
  <conditionalFormatting sqref="M21">
    <cfRule type="containsText" dxfId="292" priority="46" operator="containsText" text="Existing Value Not Required">
      <formula>NOT(ISERROR(SEARCH("Existing Value Not Required",M21)))</formula>
    </cfRule>
    <cfRule type="containsText" dxfId="291" priority="47" operator="containsText" text="Existing Value Required">
      <formula>NOT(ISERROR(SEARCH("Existing Value Required",M21)))</formula>
    </cfRule>
  </conditionalFormatting>
  <conditionalFormatting sqref="M20">
    <cfRule type="containsText" dxfId="290" priority="44" operator="containsText" text="Existing Value Not Required">
      <formula>NOT(ISERROR(SEARCH("Existing Value Not Required",M20)))</formula>
    </cfRule>
    <cfRule type="containsText" dxfId="289" priority="45" operator="containsText" text="Existing Value Required">
      <formula>NOT(ISERROR(SEARCH("Existing Value Required",M20)))</formula>
    </cfRule>
  </conditionalFormatting>
  <conditionalFormatting sqref="M17">
    <cfRule type="containsText" dxfId="288" priority="42" operator="containsText" text="Existing Value Not Required">
      <formula>NOT(ISERROR(SEARCH("Existing Value Not Required",M17)))</formula>
    </cfRule>
    <cfRule type="containsText" dxfId="287" priority="43" operator="containsText" text="Existing Value Required">
      <formula>NOT(ISERROR(SEARCH("Existing Value Required",M17)))</formula>
    </cfRule>
  </conditionalFormatting>
  <conditionalFormatting sqref="M18">
    <cfRule type="containsText" dxfId="286" priority="40" operator="containsText" text="Existing Value Not Required">
      <formula>NOT(ISERROR(SEARCH("Existing Value Not Required",M18)))</formula>
    </cfRule>
    <cfRule type="containsText" dxfId="285" priority="41" operator="containsText" text="Existing Value Required">
      <formula>NOT(ISERROR(SEARCH("Existing Value Required",M18)))</formula>
    </cfRule>
  </conditionalFormatting>
  <conditionalFormatting sqref="M19">
    <cfRule type="containsText" dxfId="284" priority="38" operator="containsText" text="Existing Value Not Required">
      <formula>NOT(ISERROR(SEARCH("Existing Value Not Required",M19)))</formula>
    </cfRule>
    <cfRule type="containsText" dxfId="283" priority="39" operator="containsText" text="Existing Value Required">
      <formula>NOT(ISERROR(SEARCH("Existing Value Required",M19)))</formula>
    </cfRule>
  </conditionalFormatting>
  <conditionalFormatting sqref="M20">
    <cfRule type="containsText" dxfId="282" priority="36" operator="containsText" text="Existing Value Not Required">
      <formula>NOT(ISERROR(SEARCH("Existing Value Not Required",M20)))</formula>
    </cfRule>
    <cfRule type="containsText" dxfId="281" priority="37" operator="containsText" text="Existing Value Required">
      <formula>NOT(ISERROR(SEARCH("Existing Value Required",M20)))</formula>
    </cfRule>
  </conditionalFormatting>
  <conditionalFormatting sqref="M21">
    <cfRule type="containsText" dxfId="280" priority="34" operator="containsText" text="Existing Value Not Required">
      <formula>NOT(ISERROR(SEARCH("Existing Value Not Required",M21)))</formula>
    </cfRule>
    <cfRule type="containsText" dxfId="279" priority="35" operator="containsText" text="Existing Value Required">
      <formula>NOT(ISERROR(SEARCH("Existing Value Required",M21)))</formula>
    </cfRule>
  </conditionalFormatting>
  <conditionalFormatting sqref="M22">
    <cfRule type="containsText" dxfId="278" priority="32" operator="containsText" text="Existing Value Not Required">
      <formula>NOT(ISERROR(SEARCH("Existing Value Not Required",M22)))</formula>
    </cfRule>
    <cfRule type="containsText" dxfId="277" priority="33" operator="containsText" text="Existing Value Required">
      <formula>NOT(ISERROR(SEARCH("Existing Value Required",M22)))</formula>
    </cfRule>
  </conditionalFormatting>
  <conditionalFormatting sqref="M23">
    <cfRule type="containsText" dxfId="276" priority="30" operator="containsText" text="Existing Value Not Required">
      <formula>NOT(ISERROR(SEARCH("Existing Value Not Required",M23)))</formula>
    </cfRule>
    <cfRule type="containsText" dxfId="275" priority="31" operator="containsText" text="Existing Value Required">
      <formula>NOT(ISERROR(SEARCH("Existing Value Required",M23)))</formula>
    </cfRule>
  </conditionalFormatting>
  <conditionalFormatting sqref="M24">
    <cfRule type="containsText" dxfId="274" priority="28" operator="containsText" text="Existing Value Not Required">
      <formula>NOT(ISERROR(SEARCH("Existing Value Not Required",M24)))</formula>
    </cfRule>
    <cfRule type="containsText" dxfId="273" priority="29" operator="containsText" text="Existing Value Required">
      <formula>NOT(ISERROR(SEARCH("Existing Value Required",M24)))</formula>
    </cfRule>
  </conditionalFormatting>
  <conditionalFormatting sqref="M25">
    <cfRule type="containsText" dxfId="272" priority="26" operator="containsText" text="Existing Value Not Required">
      <formula>NOT(ISERROR(SEARCH("Existing Value Not Required",M25)))</formula>
    </cfRule>
    <cfRule type="containsText" dxfId="271" priority="27" operator="containsText" text="Existing Value Required">
      <formula>NOT(ISERROR(SEARCH("Existing Value Required",M25)))</formula>
    </cfRule>
  </conditionalFormatting>
  <conditionalFormatting sqref="M26">
    <cfRule type="containsText" dxfId="270" priority="24" operator="containsText" text="Existing Value Not Required">
      <formula>NOT(ISERROR(SEARCH("Existing Value Not Required",M26)))</formula>
    </cfRule>
    <cfRule type="containsText" dxfId="269" priority="25" operator="containsText" text="Existing Value Required">
      <formula>NOT(ISERROR(SEARCH("Existing Value Required",M26)))</formula>
    </cfRule>
  </conditionalFormatting>
  <conditionalFormatting sqref="M27">
    <cfRule type="containsText" dxfId="268" priority="22" operator="containsText" text="Existing Value Not Required">
      <formula>NOT(ISERROR(SEARCH("Existing Value Not Required",M27)))</formula>
    </cfRule>
    <cfRule type="containsText" dxfId="267" priority="23" operator="containsText" text="Existing Value Required">
      <formula>NOT(ISERROR(SEARCH("Existing Value Required",M27)))</formula>
    </cfRule>
  </conditionalFormatting>
  <conditionalFormatting sqref="M3">
    <cfRule type="containsText" dxfId="266" priority="20" operator="containsText" text="Error">
      <formula>NOT(ISERROR(SEARCH("Error",M3)))</formula>
    </cfRule>
    <cfRule type="containsText" dxfId="265" priority="21" operator="containsText" text="Check">
      <formula>NOT(ISERROR(SEARCH("Check",M3)))</formula>
    </cfRule>
  </conditionalFormatting>
  <conditionalFormatting sqref="M4">
    <cfRule type="cellIs" dxfId="264" priority="2" operator="equal">
      <formula>0</formula>
    </cfRule>
    <cfRule type="containsText" dxfId="263" priority="3" operator="containsText" text="Error">
      <formula>NOT(ISERROR(SEARCH("Error",M4)))</formula>
    </cfRule>
    <cfRule type="containsText" dxfId="262" priority="4" operator="containsText" text="Check">
      <formula>NOT(ISERROR(SEARCH("Check",M4)))</formula>
    </cfRule>
    <cfRule type="cellIs" dxfId="261" priority="5" operator="lessThan">
      <formula>0</formula>
    </cfRule>
  </conditionalFormatting>
  <conditionalFormatting sqref="M5">
    <cfRule type="containsText" dxfId="260" priority="14" operator="containsText" text="No">
      <formula>NOT(ISERROR(SEARCH("No",M5)))</formula>
    </cfRule>
    <cfRule type="containsText" dxfId="259" priority="15" operator="containsText" text="Yes">
      <formula>NOT(ISERROR(SEARCH("Yes",M5)))</formula>
    </cfRule>
  </conditionalFormatting>
  <conditionalFormatting sqref="I12:I259">
    <cfRule type="containsText" dxfId="258" priority="13" operator="containsText" text="Not possible">
      <formula>NOT(ISERROR(SEARCH("Not possible",I12)))</formula>
    </cfRule>
  </conditionalFormatting>
  <conditionalFormatting sqref="Z12:Z259">
    <cfRule type="containsText" dxfId="257" priority="11" operator="containsText" text="Existing Value Not Required">
      <formula>NOT(ISERROR(SEARCH("Existing Value Not Required",Z12)))</formula>
    </cfRule>
    <cfRule type="containsText" dxfId="256" priority="12" operator="containsText" text="Existing Value Required">
      <formula>NOT(ISERROR(SEARCH("Existing Value Required",Z12)))</formula>
    </cfRule>
  </conditionalFormatting>
  <conditionalFormatting sqref="Z13:Z259">
    <cfRule type="containsText" dxfId="255" priority="9" operator="containsText" text="Existing Value Not Required">
      <formula>NOT(ISERROR(SEARCH("Existing Value Not Required",Z13)))</formula>
    </cfRule>
    <cfRule type="containsText" dxfId="254" priority="10" operator="containsText" text="Existing Value Required">
      <formula>NOT(ISERROR(SEARCH("Existing Value Required",Z13)))</formula>
    </cfRule>
  </conditionalFormatting>
  <conditionalFormatting sqref="Z12:Z259">
    <cfRule type="containsText" dxfId="253" priority="8" operator="containsText" text="Error">
      <formula>NOT(ISERROR(SEARCH("Error",Z12)))</formula>
    </cfRule>
  </conditionalFormatting>
  <conditionalFormatting sqref="Z12:Z259">
    <cfRule type="containsText" dxfId="252" priority="6" operator="containsText" text="30+">
      <formula>NOT(ISERROR(SEARCH("30+",Z12)))</formula>
    </cfRule>
    <cfRule type="containsText" dxfId="251" priority="7" operator="containsText" text="Check">
      <formula>NOT(ISERROR(SEARCH("Check",Z12)))</formula>
    </cfRule>
  </conditionalFormatting>
  <conditionalFormatting sqref="M3:M5">
    <cfRule type="containsText" dxfId="250" priority="1" operator="containsText" text="N/A">
      <formula>NOT(ISERROR(SEARCH("N/A",M3)))</formula>
    </cfRule>
  </conditionalFormatting>
  <dataValidations count="1">
    <dataValidation type="list" allowBlank="1" showInputMessage="1" showErrorMessage="1" sqref="H12:H259" xr:uid="{00000000-0002-0000-13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2" operator="lessThan" id="{193CDB16-95C6-403F-B2FD-D15A53D5A91A}">
            <xm:f>Start!$F$22</xm:f>
            <x14:dxf>
              <font>
                <color rgb="FF383745"/>
              </font>
              <fill>
                <patternFill>
                  <bgColor rgb="FFFFC000"/>
                </patternFill>
              </fill>
            </x14:dxf>
          </x14:cfRule>
          <x14:cfRule type="cellIs" priority="443"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4000000}">
          <x14:formula1>
            <xm:f>'G-4 Temporal multipliers'!$A$42:$A$73</xm:f>
          </x14:formula1>
          <xm:sqref>P12:Q259</xm:sqref>
        </x14:dataValidation>
        <x14:dataValidation type="list" allowBlank="1" showInputMessage="1" showErrorMessage="1" xr:uid="{A8A3C188-752E-41A1-A7A5-09DD6D70AA4D}">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x14ac:dyDescent="0.25"/>
  <cols>
    <col min="1" max="1" width="2.77734375" style="30" customWidth="1"/>
    <col min="2" max="2" width="11" style="30" customWidth="1"/>
    <col min="3" max="3" width="52.44140625" style="30" customWidth="1"/>
    <col min="4" max="4" width="8.77734375" style="30" customWidth="1"/>
    <col min="5" max="5" width="17.77734375" style="30" customWidth="1"/>
    <col min="6" max="7" width="18.21875" style="30" customWidth="1"/>
    <col min="8" max="11" width="19.21875" style="30" customWidth="1"/>
    <col min="12" max="12" width="23" style="30" customWidth="1"/>
    <col min="13" max="13" width="47.44140625" style="30" customWidth="1"/>
    <col min="14" max="14" width="34.21875" style="30" customWidth="1"/>
    <col min="15" max="15" width="44.5546875" style="30" customWidth="1"/>
    <col min="16" max="16" width="10.77734375" style="30" customWidth="1"/>
    <col min="17" max="17" width="18.21875" style="30" customWidth="1"/>
    <col min="18" max="18" width="13.5546875" style="30" customWidth="1"/>
    <col min="19" max="19" width="14.77734375" style="30" customWidth="1"/>
    <col min="20" max="20" width="13.5546875" style="30" customWidth="1"/>
    <col min="21" max="21" width="41.77734375" style="30" customWidth="1"/>
    <col min="22" max="22" width="15.44140625" style="30" customWidth="1"/>
    <col min="23" max="23" width="12.21875" style="30" customWidth="1"/>
    <col min="24" max="24" width="17.77734375" style="30" customWidth="1"/>
    <col min="25" max="25" width="20.77734375" style="30" customWidth="1"/>
    <col min="26" max="26" width="23" style="30" customWidth="1"/>
    <col min="27" max="27" width="29.5546875" style="30" customWidth="1"/>
    <col min="28" max="28" width="17.77734375" style="30" customWidth="1"/>
    <col min="29" max="29" width="15.21875" style="30" customWidth="1"/>
    <col min="30" max="30" width="15.5546875" style="30" customWidth="1"/>
    <col min="31" max="31" width="26.21875" style="30" customWidth="1"/>
    <col min="32" max="32" width="15.21875" style="30" customWidth="1"/>
    <col min="33" max="33" width="12.77734375" style="30" customWidth="1"/>
    <col min="34" max="34" width="68.21875" style="30" customWidth="1"/>
    <col min="35" max="35" width="13.44140625" style="30" hidden="1" customWidth="1"/>
    <col min="36" max="36" width="9.77734375" style="30" hidden="1" customWidth="1"/>
    <col min="37" max="37" width="12.77734375" style="30" customWidth="1"/>
    <col min="38" max="38" width="39" style="30" customWidth="1"/>
    <col min="39" max="39" width="38.44140625" style="30" customWidth="1"/>
    <col min="40" max="40" width="14.77734375" style="30" customWidth="1"/>
    <col min="41" max="41" width="15.5546875" style="30" customWidth="1"/>
    <col min="42" max="42" width="12.5546875" style="30" customWidth="1"/>
    <col min="43" max="43" width="15.77734375" style="30" hidden="1" customWidth="1"/>
    <col min="44" max="16384" width="8.77734375" style="30" hidden="1"/>
  </cols>
  <sheetData>
    <row r="1" spans="2:43" ht="15.75" customHeight="1" thickBot="1" x14ac:dyDescent="0.3"/>
    <row r="2" spans="2:43" ht="19.95" customHeight="1" thickBot="1" x14ac:dyDescent="0.3">
      <c r="B2" s="1601" t="str">
        <f>CONCATENATE("Project Name:", " ", Start!F12, "     ", "Map Reference:", " ", Start!K66)</f>
        <v xml:space="preserve">Project Name: Grove Farm Solar     Map Reference: </v>
      </c>
      <c r="C2" s="1602"/>
      <c r="N2" s="1596" t="s">
        <v>380</v>
      </c>
      <c r="O2" s="1597"/>
      <c r="X2" s="1484" t="str">
        <f>IF(OR(COUNTIF($X$12:X257,"*30+*")&gt;0,COUNTIF($AB$12:AB257,"*30+*")&gt;0),"Note; Habitat selected has a time to target condition greater than 30 years. Non standard agreement may be required. ⚠","")</f>
        <v/>
      </c>
      <c r="Y2" s="1484"/>
      <c r="Z2" s="1484"/>
      <c r="AA2" s="1484"/>
      <c r="AB2" s="1484"/>
      <c r="AC2" s="1484"/>
    </row>
    <row r="3" spans="2:43" ht="19.2" customHeight="1" thickBot="1" x14ac:dyDescent="0.3">
      <c r="B3" s="1570" t="str">
        <f ca="1">MID(CELL("filename",A1),FIND("]",CELL("filename",A1))+1,256)</f>
        <v>E-3 Off-Site Hedge Enhancement</v>
      </c>
      <c r="C3" s="1572"/>
      <c r="H3" s="509"/>
      <c r="I3" s="509"/>
      <c r="N3" s="535" t="s">
        <v>263</v>
      </c>
      <c r="O3" s="512">
        <f>'Headline Results'!H48</f>
        <v>16.669627715952004</v>
      </c>
      <c r="X3" s="1484"/>
      <c r="Y3" s="1484"/>
      <c r="Z3" s="1484"/>
      <c r="AA3" s="1484"/>
      <c r="AB3" s="1484"/>
      <c r="AC3" s="1484"/>
    </row>
    <row r="4" spans="2:43" ht="15.75" customHeight="1" thickBot="1" x14ac:dyDescent="0.3">
      <c r="B4" s="1570"/>
      <c r="C4" s="1572"/>
      <c r="H4" s="509"/>
      <c r="I4" s="509"/>
      <c r="N4" s="506" t="s">
        <v>265</v>
      </c>
      <c r="O4" s="513">
        <f>'Headline Results'!H52</f>
        <v>1.0264549086177341</v>
      </c>
      <c r="X4" s="1484"/>
      <c r="Y4" s="1484"/>
      <c r="Z4" s="1484"/>
      <c r="AA4" s="1484"/>
      <c r="AB4" s="1484"/>
      <c r="AC4" s="1484"/>
    </row>
    <row r="5" spans="2:43" ht="15.75" customHeight="1" thickBot="1" x14ac:dyDescent="0.35">
      <c r="H5" s="509"/>
      <c r="I5" s="509"/>
      <c r="N5" s="536" t="s">
        <v>267</v>
      </c>
      <c r="O5" s="504" t="str" cm="1">
        <f t="array" ref="O5">IF(OR('Trading Summary Hedgerows'!G5:H8="No ▲"), "No - check trading summary ▲", "Yes ✓")</f>
        <v>Yes ✓</v>
      </c>
      <c r="P5" s="509"/>
      <c r="W5" s="158"/>
      <c r="X5" s="158"/>
      <c r="Y5" s="158"/>
      <c r="Z5" s="158"/>
      <c r="AA5" s="158"/>
      <c r="AB5" s="158"/>
      <c r="AC5" s="158"/>
      <c r="AD5" s="158"/>
      <c r="AE5" s="158"/>
      <c r="AF5" s="158"/>
      <c r="AG5" s="158"/>
      <c r="AH5" s="158"/>
    </row>
    <row r="6" spans="2:43" ht="27.6" customHeight="1" x14ac:dyDescent="0.25"/>
    <row r="7" spans="2:43" ht="14.4" thickBot="1" x14ac:dyDescent="0.3">
      <c r="B7" s="102"/>
      <c r="C7" s="102"/>
      <c r="M7" s="101"/>
    </row>
    <row r="8" spans="2:43" ht="14.4" thickBot="1" x14ac:dyDescent="0.3">
      <c r="M8" s="1548" t="s">
        <v>402</v>
      </c>
      <c r="N8" s="1549"/>
      <c r="O8" s="1549"/>
      <c r="P8" s="1549"/>
      <c r="Q8" s="1549"/>
      <c r="R8" s="1549"/>
      <c r="S8" s="1549"/>
      <c r="T8" s="1549"/>
      <c r="U8" s="1549"/>
      <c r="V8" s="1549"/>
      <c r="W8" s="1549"/>
      <c r="X8" s="1549"/>
      <c r="Y8" s="1549"/>
      <c r="Z8" s="1549"/>
      <c r="AA8" s="1549"/>
      <c r="AB8" s="1549"/>
      <c r="AC8" s="1549"/>
      <c r="AD8" s="1549"/>
      <c r="AE8" s="1549"/>
      <c r="AF8" s="1549"/>
      <c r="AG8" s="1549"/>
      <c r="AH8" s="1549"/>
      <c r="AI8" s="1550"/>
    </row>
    <row r="9" spans="2:43" ht="14.4" thickBot="1" x14ac:dyDescent="0.3">
      <c r="C9" s="101"/>
      <c r="D9" s="101"/>
      <c r="E9" s="101"/>
      <c r="F9" s="101"/>
      <c r="G9" s="101"/>
      <c r="H9" s="101"/>
      <c r="I9" s="101"/>
      <c r="J9" s="101"/>
      <c r="K9" s="101"/>
      <c r="L9" s="101"/>
      <c r="M9" s="1598" t="s">
        <v>334</v>
      </c>
      <c r="N9" s="1599"/>
      <c r="O9" s="1599"/>
      <c r="P9" s="1599"/>
      <c r="Q9" s="1599"/>
      <c r="R9" s="1599"/>
      <c r="S9" s="1599"/>
      <c r="T9" s="1599"/>
      <c r="U9" s="1599"/>
      <c r="V9" s="1599"/>
      <c r="W9" s="1599"/>
      <c r="X9" s="1599"/>
      <c r="Y9" s="1599"/>
      <c r="Z9" s="1599"/>
      <c r="AA9" s="1599"/>
      <c r="AB9" s="1599"/>
      <c r="AC9" s="1599"/>
      <c r="AD9" s="1599"/>
      <c r="AE9" s="1599"/>
      <c r="AF9" s="1599"/>
      <c r="AG9" s="1599"/>
      <c r="AH9" s="1599"/>
      <c r="AI9" s="1600"/>
    </row>
    <row r="10" spans="2:43" s="33" customFormat="1" ht="30" customHeight="1" thickBot="1" x14ac:dyDescent="0.3">
      <c r="C10" s="1515" t="s">
        <v>332</v>
      </c>
      <c r="D10" s="1595"/>
      <c r="E10" s="1595"/>
      <c r="F10" s="1595"/>
      <c r="G10" s="1595"/>
      <c r="H10" s="1595"/>
      <c r="I10" s="1595"/>
      <c r="J10" s="1595"/>
      <c r="K10" s="1595"/>
      <c r="L10" s="1516"/>
      <c r="M10" s="1515" t="s">
        <v>403</v>
      </c>
      <c r="N10" s="1310" t="s">
        <v>334</v>
      </c>
      <c r="O10" s="1308"/>
      <c r="P10" s="1517" t="s">
        <v>34</v>
      </c>
      <c r="Q10" s="1310" t="s">
        <v>269</v>
      </c>
      <c r="R10" s="1308"/>
      <c r="S10" s="1310" t="s">
        <v>270</v>
      </c>
      <c r="T10" s="1308"/>
      <c r="U10" s="1561" t="s">
        <v>271</v>
      </c>
      <c r="V10" s="1562"/>
      <c r="W10" s="1563"/>
      <c r="X10" s="1561" t="s">
        <v>314</v>
      </c>
      <c r="Y10" s="1562"/>
      <c r="Z10" s="1562"/>
      <c r="AA10" s="1562"/>
      <c r="AB10" s="1562"/>
      <c r="AC10" s="1563"/>
      <c r="AD10" s="1542" t="s">
        <v>337</v>
      </c>
      <c r="AE10" s="1542"/>
      <c r="AF10" s="1542"/>
      <c r="AG10" s="1542"/>
      <c r="AH10" s="749" t="s">
        <v>358</v>
      </c>
      <c r="AI10" s="1520" t="s">
        <v>358</v>
      </c>
      <c r="AJ10" s="1520" t="s">
        <v>401</v>
      </c>
      <c r="AK10" s="1520" t="s">
        <v>390</v>
      </c>
      <c r="AL10" s="1561" t="s">
        <v>276</v>
      </c>
      <c r="AM10" s="1563"/>
    </row>
    <row r="11" spans="2:43" ht="62.25" customHeight="1" thickBot="1" x14ac:dyDescent="0.3">
      <c r="B11" s="140" t="s">
        <v>339</v>
      </c>
      <c r="C11" s="145" t="s">
        <v>340</v>
      </c>
      <c r="D11" s="145" t="s">
        <v>34</v>
      </c>
      <c r="E11" s="145" t="s">
        <v>342</v>
      </c>
      <c r="F11" s="145" t="s">
        <v>343</v>
      </c>
      <c r="G11" s="145" t="s">
        <v>344</v>
      </c>
      <c r="H11" s="145" t="s">
        <v>345</v>
      </c>
      <c r="I11" s="145" t="s">
        <v>346</v>
      </c>
      <c r="J11" s="145" t="s">
        <v>347</v>
      </c>
      <c r="K11" s="145" t="s">
        <v>348</v>
      </c>
      <c r="L11" s="144" t="s">
        <v>272</v>
      </c>
      <c r="M11" s="1515"/>
      <c r="N11" s="126" t="s">
        <v>395</v>
      </c>
      <c r="O11" s="861" t="s">
        <v>396</v>
      </c>
      <c r="P11" s="1517"/>
      <c r="Q11" s="126" t="s">
        <v>269</v>
      </c>
      <c r="R11" s="861" t="s">
        <v>286</v>
      </c>
      <c r="S11" s="126" t="s">
        <v>270</v>
      </c>
      <c r="T11" s="861" t="s">
        <v>286</v>
      </c>
      <c r="U11" s="126" t="s">
        <v>271</v>
      </c>
      <c r="V11" s="874" t="s">
        <v>271</v>
      </c>
      <c r="W11" s="861" t="s">
        <v>317</v>
      </c>
      <c r="X11" s="132" t="s">
        <v>392</v>
      </c>
      <c r="Y11" s="811" t="s">
        <v>377</v>
      </c>
      <c r="Z11" s="811" t="s">
        <v>354</v>
      </c>
      <c r="AA11" s="811" t="s">
        <v>321</v>
      </c>
      <c r="AB11" s="811" t="s">
        <v>322</v>
      </c>
      <c r="AC11" s="752" t="s">
        <v>397</v>
      </c>
      <c r="AD11" s="132" t="s">
        <v>398</v>
      </c>
      <c r="AE11" s="811" t="s">
        <v>1679</v>
      </c>
      <c r="AF11" s="811" t="s">
        <v>399</v>
      </c>
      <c r="AG11" s="752" t="s">
        <v>327</v>
      </c>
      <c r="AH11" s="126" t="s">
        <v>361</v>
      </c>
      <c r="AI11" s="1594"/>
      <c r="AJ11" s="1581"/>
      <c r="AK11" s="1581"/>
      <c r="AL11" s="126" t="s">
        <v>295</v>
      </c>
      <c r="AM11" s="861" t="s">
        <v>296</v>
      </c>
      <c r="AN11" s="43" t="s">
        <v>297</v>
      </c>
      <c r="AO11" s="43" t="s">
        <v>363</v>
      </c>
      <c r="AQ11" s="101" t="s">
        <v>280</v>
      </c>
    </row>
    <row r="12" spans="2:43" ht="13.8" x14ac:dyDescent="0.2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3.8" x14ac:dyDescent="0.2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3.8" x14ac:dyDescent="0.2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3.8" x14ac:dyDescent="0.2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3.8" x14ac:dyDescent="0.2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3.8" x14ac:dyDescent="0.2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3.8" x14ac:dyDescent="0.2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3.8" x14ac:dyDescent="0.2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3.8" x14ac:dyDescent="0.2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3.8" x14ac:dyDescent="0.2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3.8" x14ac:dyDescent="0.2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3.8" x14ac:dyDescent="0.2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3.8" x14ac:dyDescent="0.2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3.8" x14ac:dyDescent="0.2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3.8" x14ac:dyDescent="0.2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3.8" x14ac:dyDescent="0.2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3.8" x14ac:dyDescent="0.2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3.8" x14ac:dyDescent="0.2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3.8" x14ac:dyDescent="0.2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3.8" x14ac:dyDescent="0.2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3.8" x14ac:dyDescent="0.2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3.8" x14ac:dyDescent="0.2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3.8" x14ac:dyDescent="0.2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3.8" x14ac:dyDescent="0.2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3.8" x14ac:dyDescent="0.2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3.8" x14ac:dyDescent="0.2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3.8" x14ac:dyDescent="0.2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3.8" x14ac:dyDescent="0.2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3.8" x14ac:dyDescent="0.2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3.8" x14ac:dyDescent="0.2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3.8" x14ac:dyDescent="0.2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3.8" x14ac:dyDescent="0.2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3.8" x14ac:dyDescent="0.2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3.8" x14ac:dyDescent="0.2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3.8" x14ac:dyDescent="0.2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3.8" x14ac:dyDescent="0.2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3.8" x14ac:dyDescent="0.2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3.8" x14ac:dyDescent="0.2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3.8" x14ac:dyDescent="0.2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3.8" x14ac:dyDescent="0.2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3.8" x14ac:dyDescent="0.2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3.8" x14ac:dyDescent="0.2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3.8" x14ac:dyDescent="0.2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3.8" x14ac:dyDescent="0.2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3.8" x14ac:dyDescent="0.2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3.8" x14ac:dyDescent="0.2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3.8" x14ac:dyDescent="0.2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3.8" x14ac:dyDescent="0.2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3.8" x14ac:dyDescent="0.2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3.8" x14ac:dyDescent="0.2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3.8" x14ac:dyDescent="0.2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3.8" x14ac:dyDescent="0.2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3.8" x14ac:dyDescent="0.2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3.8" x14ac:dyDescent="0.2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3.8" x14ac:dyDescent="0.2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3.8" x14ac:dyDescent="0.2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3.8" x14ac:dyDescent="0.2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3.8" x14ac:dyDescent="0.2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3.8" x14ac:dyDescent="0.2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3.8" x14ac:dyDescent="0.2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3.8" x14ac:dyDescent="0.2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3.8" x14ac:dyDescent="0.2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3.8" x14ac:dyDescent="0.2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3.8" x14ac:dyDescent="0.2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3.8" x14ac:dyDescent="0.2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3.8" x14ac:dyDescent="0.2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3.8" x14ac:dyDescent="0.2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3.8" x14ac:dyDescent="0.2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3.8" x14ac:dyDescent="0.2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3.8" x14ac:dyDescent="0.2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3.8" x14ac:dyDescent="0.2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3.8" x14ac:dyDescent="0.2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3.8" x14ac:dyDescent="0.2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3.8" x14ac:dyDescent="0.2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3.8" x14ac:dyDescent="0.2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3.8" x14ac:dyDescent="0.2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3.8" x14ac:dyDescent="0.2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3.8" x14ac:dyDescent="0.2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3.8" x14ac:dyDescent="0.2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3.8" x14ac:dyDescent="0.2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3.8" x14ac:dyDescent="0.2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3.8" x14ac:dyDescent="0.2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3.8" x14ac:dyDescent="0.2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3.8" x14ac:dyDescent="0.2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3.8" x14ac:dyDescent="0.2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3.8" x14ac:dyDescent="0.2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3.8" x14ac:dyDescent="0.2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3.8" x14ac:dyDescent="0.2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3.8" x14ac:dyDescent="0.2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3.8" x14ac:dyDescent="0.2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3.8" x14ac:dyDescent="0.2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3.8" x14ac:dyDescent="0.2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3.8" x14ac:dyDescent="0.2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3.8" x14ac:dyDescent="0.2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3.8" x14ac:dyDescent="0.2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3.8" x14ac:dyDescent="0.2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3.8" x14ac:dyDescent="0.2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3.8" x14ac:dyDescent="0.2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3.8" x14ac:dyDescent="0.2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3.8" x14ac:dyDescent="0.2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3.8" x14ac:dyDescent="0.2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3.8" x14ac:dyDescent="0.2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3.8" x14ac:dyDescent="0.2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3.8" x14ac:dyDescent="0.2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3.8" x14ac:dyDescent="0.2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3.8" x14ac:dyDescent="0.2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3.8" x14ac:dyDescent="0.2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3.8" x14ac:dyDescent="0.2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3.8" x14ac:dyDescent="0.2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3.8" x14ac:dyDescent="0.2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3.8" x14ac:dyDescent="0.2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3.8" x14ac:dyDescent="0.2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3.8" x14ac:dyDescent="0.2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3.8" x14ac:dyDescent="0.2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3.8" x14ac:dyDescent="0.2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3.8" x14ac:dyDescent="0.2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3.8" x14ac:dyDescent="0.2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3.8" x14ac:dyDescent="0.2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3.8" x14ac:dyDescent="0.2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3.8" x14ac:dyDescent="0.2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3.8" x14ac:dyDescent="0.2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3.8" x14ac:dyDescent="0.2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3.8" x14ac:dyDescent="0.2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3.8" x14ac:dyDescent="0.2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3.8" x14ac:dyDescent="0.2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3.8" x14ac:dyDescent="0.2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3.8" x14ac:dyDescent="0.2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3.8" x14ac:dyDescent="0.2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3.8" x14ac:dyDescent="0.2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3.8" x14ac:dyDescent="0.2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3.8" x14ac:dyDescent="0.2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3.8" x14ac:dyDescent="0.2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3.8" x14ac:dyDescent="0.2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3.8" x14ac:dyDescent="0.2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3.8" x14ac:dyDescent="0.2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3.8" x14ac:dyDescent="0.2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3.8" x14ac:dyDescent="0.2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3.8" x14ac:dyDescent="0.2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3.8" x14ac:dyDescent="0.2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3.8" x14ac:dyDescent="0.2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3.8" x14ac:dyDescent="0.2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3.8" x14ac:dyDescent="0.2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3.8" x14ac:dyDescent="0.2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3.8" x14ac:dyDescent="0.2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3.8" x14ac:dyDescent="0.2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3.8" x14ac:dyDescent="0.2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3.8" x14ac:dyDescent="0.2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3.8" x14ac:dyDescent="0.2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3.8" x14ac:dyDescent="0.2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3.8" x14ac:dyDescent="0.2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3.8" x14ac:dyDescent="0.2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3.8" x14ac:dyDescent="0.2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3.8" x14ac:dyDescent="0.2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3.8" x14ac:dyDescent="0.2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3.8" x14ac:dyDescent="0.2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3.8" x14ac:dyDescent="0.2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3.8" x14ac:dyDescent="0.2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3.8" x14ac:dyDescent="0.2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3.8" x14ac:dyDescent="0.2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3.8" x14ac:dyDescent="0.2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3.8" x14ac:dyDescent="0.2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3.8" x14ac:dyDescent="0.2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3.8" x14ac:dyDescent="0.2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3.8" x14ac:dyDescent="0.2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3.8" x14ac:dyDescent="0.2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3.8" x14ac:dyDescent="0.2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3.8" x14ac:dyDescent="0.2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3.8" x14ac:dyDescent="0.2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3.8" x14ac:dyDescent="0.2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3.8" x14ac:dyDescent="0.2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3.8" x14ac:dyDescent="0.2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3.8" x14ac:dyDescent="0.2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3.8" x14ac:dyDescent="0.2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3.8" x14ac:dyDescent="0.2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3.8" x14ac:dyDescent="0.2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3.8" x14ac:dyDescent="0.2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3.8" x14ac:dyDescent="0.2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3.8" x14ac:dyDescent="0.2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3.8" x14ac:dyDescent="0.2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3.8" x14ac:dyDescent="0.2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3.8" x14ac:dyDescent="0.2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3.8" x14ac:dyDescent="0.2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3.8" x14ac:dyDescent="0.2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3.8" x14ac:dyDescent="0.2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3.8" x14ac:dyDescent="0.2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3.8" x14ac:dyDescent="0.2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3.8" x14ac:dyDescent="0.2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3.8" x14ac:dyDescent="0.2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3.8" x14ac:dyDescent="0.2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3.8" x14ac:dyDescent="0.2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3.8" x14ac:dyDescent="0.2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3.8" x14ac:dyDescent="0.2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3.8" x14ac:dyDescent="0.2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3.8" x14ac:dyDescent="0.2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3.8" x14ac:dyDescent="0.2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3.8" x14ac:dyDescent="0.2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3.8" x14ac:dyDescent="0.2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3.8" x14ac:dyDescent="0.2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3.8" x14ac:dyDescent="0.2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3.8" x14ac:dyDescent="0.2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3.8" x14ac:dyDescent="0.2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3.8" x14ac:dyDescent="0.2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3.8" x14ac:dyDescent="0.2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3.8" x14ac:dyDescent="0.2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3.8" x14ac:dyDescent="0.2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3.8" x14ac:dyDescent="0.2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3.8" x14ac:dyDescent="0.2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3.8" x14ac:dyDescent="0.2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3.8" x14ac:dyDescent="0.2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3.8" x14ac:dyDescent="0.2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3.8" x14ac:dyDescent="0.2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3.8" x14ac:dyDescent="0.2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3.8" x14ac:dyDescent="0.2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3.8" x14ac:dyDescent="0.2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3.8" x14ac:dyDescent="0.2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3.8" x14ac:dyDescent="0.2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3.8" x14ac:dyDescent="0.2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3.8" x14ac:dyDescent="0.2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3.8" x14ac:dyDescent="0.2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3.8" x14ac:dyDescent="0.2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3.8" x14ac:dyDescent="0.2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3.8" x14ac:dyDescent="0.2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3.8" x14ac:dyDescent="0.2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3.8" x14ac:dyDescent="0.2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3.8" x14ac:dyDescent="0.2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3.8" x14ac:dyDescent="0.2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3.8" x14ac:dyDescent="0.2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3.8" x14ac:dyDescent="0.2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3.8" x14ac:dyDescent="0.2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3.8" x14ac:dyDescent="0.2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3.8" x14ac:dyDescent="0.2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3.8" x14ac:dyDescent="0.2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3.8" x14ac:dyDescent="0.2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3.8" x14ac:dyDescent="0.2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3.8" x14ac:dyDescent="0.2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3.8" x14ac:dyDescent="0.2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3.8" x14ac:dyDescent="0.2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3.8" x14ac:dyDescent="0.2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3.8" x14ac:dyDescent="0.2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3.8" x14ac:dyDescent="0.2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3.8" x14ac:dyDescent="0.2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3.8" x14ac:dyDescent="0.2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3.8" x14ac:dyDescent="0.2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3.8" x14ac:dyDescent="0.2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3.8" x14ac:dyDescent="0.2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4.4" thickBot="1" x14ac:dyDescent="0.3">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4.4" thickBot="1" x14ac:dyDescent="0.3">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3.8" x14ac:dyDescent="0.25"/>
    <row r="260" spans="2:43" ht="13.8" x14ac:dyDescent="0.25"/>
    <row r="261" spans="2:43" ht="13.8" x14ac:dyDescent="0.25"/>
    <row r="262" spans="2:43" ht="13.8" x14ac:dyDescent="0.25"/>
    <row r="263" spans="2:43" ht="13.8" x14ac:dyDescent="0.25"/>
    <row r="264" spans="2:43" ht="13.8" x14ac:dyDescent="0.25"/>
    <row r="265" spans="2:43" ht="13.8" x14ac:dyDescent="0.25"/>
    <row r="266" spans="2:43" ht="13.8" x14ac:dyDescent="0.25"/>
    <row r="267" spans="2:43" ht="15" hidden="1" customHeight="1" x14ac:dyDescent="0.25"/>
    <row r="268" spans="2:43" ht="15" hidden="1" customHeight="1" x14ac:dyDescent="0.25"/>
    <row r="269" spans="2:43" ht="15" hidden="1" customHeight="1" x14ac:dyDescent="0.25"/>
    <row r="270" spans="2:43" ht="15" hidden="1" customHeight="1" x14ac:dyDescent="0.25"/>
    <row r="271" spans="2:43" ht="15" hidden="1" customHeight="1" x14ac:dyDescent="0.25"/>
    <row r="272" spans="2:43"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sheetData>
  <sheetProtection algorithmName="SHA-512" hashValue="/Gt1lRI8Dp7C27ctw6zOUS+R+h6k4Hd1GBKqjjFpwBTDF7Cma0SCzBCGaDUUHIiVkZwO/8LSwAtsu9UJXcpSJA==" saltValue="/8opW+c/IwKkpcb7i7Qom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N2:O2"/>
    <mergeCell ref="M8:AI8"/>
    <mergeCell ref="M9:AI9"/>
    <mergeCell ref="M10:M11"/>
    <mergeCell ref="B3:C4"/>
    <mergeCell ref="X10:AC10"/>
    <mergeCell ref="AD10:AG10"/>
    <mergeCell ref="AI10:AI11"/>
    <mergeCell ref="N10:O10"/>
    <mergeCell ref="Q10:R10"/>
    <mergeCell ref="S10:T10"/>
    <mergeCell ref="X2:AC4"/>
    <mergeCell ref="B2:C2"/>
    <mergeCell ref="AJ10:AJ11"/>
    <mergeCell ref="AL10:AM10"/>
    <mergeCell ref="C10:L10"/>
    <mergeCell ref="U10:W10"/>
    <mergeCell ref="P10:P11"/>
    <mergeCell ref="AK10:AK11"/>
  </mergeCells>
  <conditionalFormatting sqref="L12:L257">
    <cfRule type="cellIs" dxfId="247" priority="250" operator="equal">
      <formula>"Same distinctiveness band or better"</formula>
    </cfRule>
    <cfRule type="cellIs" dxfId="246" priority="251" operator="equal">
      <formula>"Like for like or better"</formula>
    </cfRule>
    <cfRule type="cellIs" dxfId="245" priority="252" operator="equal">
      <formula>"Like for Like"</formula>
    </cfRule>
  </conditionalFormatting>
  <conditionalFormatting sqref="V12:AG12 V13:W43 N12:R12 Q13:R37 Q38:S257 N13:P257 U44:W257 T12:T257 X13:AG257 AI12:AJ257">
    <cfRule type="containsText" dxfId="244" priority="245" operator="containsText" text="30+">
      <formula>NOT(ISERROR(SEARCH("30+",N12)))</formula>
    </cfRule>
    <cfRule type="beginsWith" dxfId="243" priority="246" operator="beginsWith" text="No">
      <formula>LEFT(N12,LEN("No"))="No"</formula>
    </cfRule>
    <cfRule type="containsText" dxfId="242" priority="247" operator="containsText" text="Spatial">
      <formula>NOT(ISERROR(SEARCH("Spatial",N12)))</formula>
    </cfRule>
    <cfRule type="containsText" dxfId="241" priority="248" operator="containsText" text="Check">
      <formula>NOT(ISERROR(SEARCH("Check",N12)))</formula>
    </cfRule>
    <cfRule type="containsText" dxfId="240" priority="249" operator="containsText" text="Error">
      <formula>NOT(ISERROR(SEARCH("Error",N12)))</formula>
    </cfRule>
  </conditionalFormatting>
  <conditionalFormatting sqref="X2">
    <cfRule type="containsText" dxfId="239" priority="244" operator="containsText" text="Note">
      <formula>NOT(ISERROR(SEARCH("Note",X2)))</formula>
    </cfRule>
  </conditionalFormatting>
  <conditionalFormatting sqref="U12:U27">
    <cfRule type="containsText" dxfId="238" priority="243" operator="containsText" text="Error">
      <formula>NOT(ISERROR(SEARCH("Error",U12)))</formula>
    </cfRule>
  </conditionalFormatting>
  <conditionalFormatting sqref="AH12:AH257">
    <cfRule type="containsText" dxfId="237" priority="241" operator="containsText" text="Existing Value Not Required">
      <formula>NOT(ISERROR(SEARCH("Existing Value Not Required",AH12)))</formula>
    </cfRule>
    <cfRule type="containsText" dxfId="236" priority="242" operator="containsText" text="Existing Value Required">
      <formula>NOT(ISERROR(SEARCH("Existing Value Required",AH12)))</formula>
    </cfRule>
  </conditionalFormatting>
  <conditionalFormatting sqref="AH12:AH257">
    <cfRule type="containsText" dxfId="235" priority="238" operator="containsText" text="Error">
      <formula>NOT(ISERROR(SEARCH("Error",AH12)))</formula>
    </cfRule>
  </conditionalFormatting>
  <conditionalFormatting sqref="U28:U43">
    <cfRule type="containsText" dxfId="234" priority="20" operator="containsText" text="Error">
      <formula>NOT(ISERROR(SEARCH("Error",U28)))</formula>
    </cfRule>
  </conditionalFormatting>
  <conditionalFormatting sqref="O3">
    <cfRule type="containsText" dxfId="233" priority="18" operator="containsText" text="Error">
      <formula>NOT(ISERROR(SEARCH("Error",O3)))</formula>
    </cfRule>
    <cfRule type="containsText" dxfId="232" priority="19" operator="containsText" text="Check">
      <formula>NOT(ISERROR(SEARCH("Check",O3)))</formula>
    </cfRule>
  </conditionalFormatting>
  <conditionalFormatting sqref="O4">
    <cfRule type="cellIs" dxfId="231" priority="2" operator="equal">
      <formula>0</formula>
    </cfRule>
    <cfRule type="containsText" dxfId="230" priority="3" operator="containsText" text="Error">
      <formula>NOT(ISERROR(SEARCH("Error",O4)))</formula>
    </cfRule>
    <cfRule type="containsText" dxfId="229" priority="4" operator="containsText" text="Check">
      <formula>NOT(ISERROR(SEARCH("Check",O4)))</formula>
    </cfRule>
    <cfRule type="cellIs" dxfId="228" priority="14" operator="greaterThanOrEqual">
      <formula>0.1</formula>
    </cfRule>
    <cfRule type="cellIs" dxfId="227" priority="15" operator="lessThan">
      <formula>0</formula>
    </cfRule>
  </conditionalFormatting>
  <conditionalFormatting sqref="O5">
    <cfRule type="containsText" dxfId="226" priority="12" operator="containsText" text="No">
      <formula>NOT(ISERROR(SEARCH("No",O5)))</formula>
    </cfRule>
    <cfRule type="containsText" dxfId="225" priority="13" operator="containsText" text="Yes">
      <formula>NOT(ISERROR(SEARCH("Yes",O5)))</formula>
    </cfRule>
  </conditionalFormatting>
  <conditionalFormatting sqref="T12:T257">
    <cfRule type="containsText" dxfId="224" priority="11" operator="containsText" text="Not possible">
      <formula>NOT(ISERROR(SEARCH("Not possible",T12)))</formula>
    </cfRule>
  </conditionalFormatting>
  <conditionalFormatting sqref="AK12:AK257">
    <cfRule type="containsText" dxfId="223" priority="6" operator="containsText" text="30+">
      <formula>NOT(ISERROR(SEARCH("30+",AK12)))</formula>
    </cfRule>
    <cfRule type="beginsWith" dxfId="222" priority="7" operator="beginsWith" text="No">
      <formula>LEFT(AK12,LEN("No"))="No"</formula>
    </cfRule>
    <cfRule type="containsText" dxfId="221" priority="8" operator="containsText" text="Spatial">
      <formula>NOT(ISERROR(SEARCH("Spatial",AK12)))</formula>
    </cfRule>
    <cfRule type="containsText" dxfId="220" priority="9" operator="containsText" text="Check">
      <formula>NOT(ISERROR(SEARCH("Check",AK12)))</formula>
    </cfRule>
    <cfRule type="containsText" dxfId="219" priority="10" operator="containsText" text="Error">
      <formula>NOT(ISERROR(SEARCH("Error",AK12)))</formula>
    </cfRule>
  </conditionalFormatting>
  <conditionalFormatting sqref="O3:O5">
    <cfRule type="containsText" dxfId="218" priority="1" operator="containsText" text="N/A">
      <formula>NOT(ISERROR(SEARCH("N/A",O3)))</formula>
    </cfRule>
  </conditionalFormatting>
  <dataValidations count="1">
    <dataValidation type="list" allowBlank="1" showInputMessage="1" showErrorMessage="1" sqref="S12:S257" xr:uid="{00000000-0002-0000-1500-000000000000}">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4"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500-000001000000}">
          <x14:formula1>
            <xm:f>'G-6 Hedgerow Data'!$B$3:$B$15</xm:f>
          </x14:formula1>
          <xm:sqref>M12:M257</xm:sqref>
        </x14:dataValidation>
        <x14:dataValidation type="list" allowBlank="1" showInputMessage="1" showErrorMessage="1" xr:uid="{00000000-0002-0000-1500-000002000000}">
          <x14:formula1>
            <xm:f>'G-3 Multipliers'!$L$4:$L$6</xm:f>
          </x14:formula1>
          <xm:sqref>U12:U257</xm:sqref>
        </x14:dataValidation>
        <x14:dataValidation type="list" allowBlank="1" showInputMessage="1" showErrorMessage="1" xr:uid="{00000000-0002-0000-1500-000004000000}">
          <x14:formula1>
            <xm:f>'G-4 Temporal multipliers'!$A$4:$A$36</xm:f>
          </x14:formula1>
          <xm:sqref>Y12:Z257</xm:sqref>
        </x14:dataValidation>
        <x14:dataValidation type="list" allowBlank="1" showInputMessage="1" showErrorMessage="1" xr:uid="{D5FCAF7F-DA20-4251-AF04-D2BCC6182453}">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rgb="FF0033CC"/>
  </sheetPr>
  <dimension ref="B1:AR272"/>
  <sheetViews>
    <sheetView showGridLines="0" zoomScale="80" zoomScaleNormal="80" workbookViewId="0"/>
  </sheetViews>
  <sheetFormatPr defaultColWidth="8.77734375" defaultRowHeight="0" customHeight="1" zeroHeight="1" x14ac:dyDescent="0.25"/>
  <cols>
    <col min="1" max="1" width="3" style="30" customWidth="1"/>
    <col min="2" max="2" width="3.21875" style="102" customWidth="1"/>
    <col min="3" max="3" width="12.77734375" style="102" customWidth="1"/>
    <col min="4" max="4" width="55" style="30" customWidth="1"/>
    <col min="5" max="5" width="10.77734375" style="30" customWidth="1"/>
    <col min="6" max="6" width="17.77734375" style="30" customWidth="1"/>
    <col min="7" max="7" width="8.77734375" style="30" customWidth="1"/>
    <col min="8" max="8" width="14.21875" style="30" bestFit="1" customWidth="1"/>
    <col min="9" max="9" width="11.77734375" style="30" customWidth="1"/>
    <col min="10" max="10" width="33.77734375" style="30" customWidth="1"/>
    <col min="11" max="12" width="14.77734375" style="30" customWidth="1"/>
    <col min="13" max="13" width="17.21875" style="30" customWidth="1"/>
    <col min="14" max="14" width="13.5546875" style="30" customWidth="1"/>
    <col min="15" max="15" width="25.21875" style="30" customWidth="1"/>
    <col min="16" max="16" width="14.44140625" style="30" customWidth="1"/>
    <col min="17" max="17" width="14.21875" style="30" customWidth="1"/>
    <col min="18" max="18" width="15" style="30" customWidth="1"/>
    <col min="19" max="19" width="3.77734375" style="30" customWidth="1"/>
    <col min="20" max="21" width="12.21875" style="30" customWidth="1"/>
    <col min="22" max="22" width="13.44140625" style="30" customWidth="1"/>
    <col min="23" max="23" width="12.21875" style="30" customWidth="1"/>
    <col min="24" max="24" width="19.21875" style="30" customWidth="1"/>
    <col min="25" max="25" width="16.44140625" style="30" customWidth="1"/>
    <col min="26" max="26" width="17.44140625" style="30" customWidth="1"/>
    <col min="27" max="28" width="50.21875" style="30" customWidth="1"/>
    <col min="29" max="29" width="16.21875" style="30" customWidth="1"/>
    <col min="30" max="30" width="8.77734375" style="30" hidden="1" customWidth="1"/>
    <col min="31" max="31" width="6.5546875" style="30" hidden="1" customWidth="1"/>
    <col min="32" max="37" width="8.77734375" style="30" hidden="1" customWidth="1"/>
    <col min="38" max="38" width="11.77734375" style="30" hidden="1" customWidth="1"/>
    <col min="39" max="42" width="8.77734375" style="30" hidden="1" customWidth="1"/>
    <col min="43" max="43" width="19.5546875" style="30" hidden="1" customWidth="1"/>
    <col min="44" max="44" width="35" style="30" hidden="1" customWidth="1"/>
    <col min="45" max="45" width="8.77734375" style="30" customWidth="1"/>
    <col min="46" max="16383" width="8.77734375" style="30"/>
    <col min="16384" max="16384" width="7" style="30" customWidth="1"/>
  </cols>
  <sheetData>
    <row r="1" spans="2:44" ht="12.75" customHeight="1" thickBot="1" x14ac:dyDescent="0.3">
      <c r="B1" s="30"/>
      <c r="C1" s="30"/>
    </row>
    <row r="2" spans="2:44" ht="19.5" customHeight="1" thickBot="1" x14ac:dyDescent="0.3">
      <c r="B2" s="1601" t="str">
        <f>CONCATENATE("Project Name:", " ", Start!F12, "     ", "Map Reference:", " ", Start!F55)</f>
        <v xml:space="preserve">Project Name: Grove Farm Solar     Map Reference: </v>
      </c>
      <c r="C2" s="1605"/>
      <c r="D2" s="1602"/>
      <c r="F2" s="1596" t="s">
        <v>404</v>
      </c>
      <c r="G2" s="1609"/>
      <c r="H2" s="1609"/>
      <c r="I2" s="1609"/>
      <c r="J2" s="1597"/>
      <c r="L2" s="1527" t="str" cm="1">
        <f t="array" ref="L2">IF(OR(H10:H257 = "Fairly Good", H10:H257 = "Fairly Poor"),"A 'Fairly' Category has been used - check evidence to ensure this is appropriate ⚠", "")</f>
        <v/>
      </c>
      <c r="M2" s="1527"/>
      <c r="N2" s="1527"/>
      <c r="O2" s="1527"/>
      <c r="P2" s="1527"/>
      <c r="Q2" s="1527"/>
      <c r="R2" s="1527"/>
    </row>
    <row r="3" spans="2:44" ht="15" customHeight="1" x14ac:dyDescent="0.25">
      <c r="B3" s="1606" t="str">
        <f ca="1">MID(CELL("filename",A1),FIND("]",CELL("filename",A1))+1,256)</f>
        <v>C-1 On-Site WaterC' Baseline</v>
      </c>
      <c r="C3" s="1607"/>
      <c r="D3" s="1608"/>
      <c r="F3" s="1488" t="s">
        <v>263</v>
      </c>
      <c r="G3" s="1489"/>
      <c r="H3" s="1489"/>
      <c r="I3" s="1508">
        <f>'Headline Results'!H49</f>
        <v>0</v>
      </c>
      <c r="J3" s="1509"/>
      <c r="L3" s="1527"/>
      <c r="M3" s="1527"/>
      <c r="N3" s="1527"/>
      <c r="O3" s="1527"/>
      <c r="P3" s="1527"/>
      <c r="Q3" s="1527"/>
      <c r="R3" s="1527"/>
    </row>
    <row r="4" spans="2:44" ht="19.95" customHeight="1" thickBot="1" x14ac:dyDescent="0.3">
      <c r="B4" s="1524"/>
      <c r="C4" s="1525"/>
      <c r="D4" s="1526"/>
      <c r="F4" s="1583" t="s">
        <v>265</v>
      </c>
      <c r="G4" s="1584"/>
      <c r="H4" s="1584"/>
      <c r="I4" s="1554">
        <f>'Headline Results'!H53</f>
        <v>0</v>
      </c>
      <c r="J4" s="1555"/>
      <c r="L4" s="1527"/>
      <c r="M4" s="1527"/>
      <c r="N4" s="1527"/>
      <c r="O4" s="1527"/>
      <c r="P4" s="1527"/>
      <c r="Q4" s="1527"/>
      <c r="R4" s="1527"/>
    </row>
    <row r="5" spans="2:44" ht="19.2" customHeight="1" thickBot="1" x14ac:dyDescent="0.3">
      <c r="B5" s="30"/>
      <c r="C5" s="30"/>
      <c r="F5" s="1582" t="s">
        <v>267</v>
      </c>
      <c r="G5" s="1556"/>
      <c r="H5" s="1556"/>
      <c r="I5" s="1556" t="str" cm="1">
        <f t="array" ref="I5">IF(OR('Trading Summary WaterC''s'!G5:H8="No ▲"), "No - check trading summary ▲", "Yes ✓")</f>
        <v>Yes ✓</v>
      </c>
      <c r="J5" s="1557"/>
      <c r="T5" s="1603" t="str">
        <f>IF(SUM(AH10:AH257)&gt;0,"Check Lengths ⚠","")</f>
        <v/>
      </c>
      <c r="U5" s="1603"/>
      <c r="V5" s="1603"/>
      <c r="W5" s="1603"/>
      <c r="X5" s="1603"/>
      <c r="Y5" s="1603"/>
      <c r="Z5" s="669"/>
    </row>
    <row r="6" spans="2:44" ht="15.75" customHeight="1" x14ac:dyDescent="0.25">
      <c r="B6" s="30"/>
      <c r="C6" s="30"/>
      <c r="T6" s="1603"/>
      <c r="U6" s="1603"/>
      <c r="V6" s="1603"/>
      <c r="W6" s="1603"/>
      <c r="X6" s="1603"/>
      <c r="Y6" s="1603"/>
      <c r="Z6" s="669"/>
    </row>
    <row r="7" spans="2:44" ht="46.2" customHeight="1" thickBot="1" x14ac:dyDescent="0.3"/>
    <row r="8" spans="2:44" ht="28.2" thickBot="1" x14ac:dyDescent="0.3">
      <c r="C8" s="1519" t="s">
        <v>405</v>
      </c>
      <c r="D8" s="1519"/>
      <c r="E8" s="1519"/>
      <c r="F8" s="1542" t="s">
        <v>269</v>
      </c>
      <c r="G8" s="1542"/>
      <c r="H8" s="1542" t="s">
        <v>357</v>
      </c>
      <c r="I8" s="1542"/>
      <c r="J8" s="1519" t="s">
        <v>271</v>
      </c>
      <c r="K8" s="1519"/>
      <c r="L8" s="1519"/>
      <c r="M8" s="1542" t="s">
        <v>406</v>
      </c>
      <c r="N8" s="1542"/>
      <c r="O8" s="1542" t="s">
        <v>407</v>
      </c>
      <c r="P8" s="1542"/>
      <c r="Q8" s="1517" t="s">
        <v>272</v>
      </c>
      <c r="R8" s="134" t="s">
        <v>273</v>
      </c>
      <c r="S8" s="103"/>
      <c r="T8" s="1519" t="s">
        <v>274</v>
      </c>
      <c r="U8" s="1519"/>
      <c r="V8" s="1519"/>
      <c r="W8" s="1519"/>
      <c r="X8" s="1519"/>
      <c r="Y8" s="1519"/>
      <c r="Z8" s="1520" t="s">
        <v>275</v>
      </c>
      <c r="AA8" s="1538" t="s">
        <v>276</v>
      </c>
      <c r="AB8" s="1538"/>
      <c r="AD8" s="37" t="s">
        <v>266</v>
      </c>
      <c r="AE8" s="37" t="s">
        <v>266</v>
      </c>
    </row>
    <row r="9" spans="2:44" ht="52.5" customHeight="1" thickBot="1" x14ac:dyDescent="0.3">
      <c r="C9" s="132" t="s">
        <v>339</v>
      </c>
      <c r="D9" s="811" t="s">
        <v>193</v>
      </c>
      <c r="E9" s="752" t="s">
        <v>34</v>
      </c>
      <c r="F9" s="132" t="s">
        <v>269</v>
      </c>
      <c r="G9" s="752" t="s">
        <v>286</v>
      </c>
      <c r="H9" s="132" t="s">
        <v>270</v>
      </c>
      <c r="I9" s="752" t="s">
        <v>286</v>
      </c>
      <c r="J9" s="132" t="s">
        <v>271</v>
      </c>
      <c r="K9" s="811" t="s">
        <v>271</v>
      </c>
      <c r="L9" s="752" t="s">
        <v>408</v>
      </c>
      <c r="M9" s="132" t="s">
        <v>409</v>
      </c>
      <c r="N9" s="752" t="s">
        <v>410</v>
      </c>
      <c r="O9" s="132" t="s">
        <v>411</v>
      </c>
      <c r="P9" s="752" t="s">
        <v>410</v>
      </c>
      <c r="Q9" s="1517"/>
      <c r="R9" s="750" t="s">
        <v>412</v>
      </c>
      <c r="S9" s="107"/>
      <c r="T9" s="132" t="s">
        <v>384</v>
      </c>
      <c r="U9" s="811" t="s">
        <v>385</v>
      </c>
      <c r="V9" s="811" t="s">
        <v>386</v>
      </c>
      <c r="W9" s="811" t="s">
        <v>387</v>
      </c>
      <c r="X9" s="811" t="s">
        <v>413</v>
      </c>
      <c r="Y9" s="752" t="s">
        <v>414</v>
      </c>
      <c r="Z9" s="1581"/>
      <c r="AA9" s="719" t="s">
        <v>415</v>
      </c>
      <c r="AB9" s="719" t="s">
        <v>296</v>
      </c>
      <c r="AC9" s="48" t="s">
        <v>297</v>
      </c>
      <c r="AD9" s="50" t="s">
        <v>298</v>
      </c>
      <c r="AE9" s="50" t="s">
        <v>299</v>
      </c>
      <c r="AH9" s="33" t="s">
        <v>416</v>
      </c>
      <c r="AI9" s="124" t="s">
        <v>300</v>
      </c>
      <c r="AJ9" s="124" t="s">
        <v>301</v>
      </c>
      <c r="AL9" s="124" t="s">
        <v>303</v>
      </c>
      <c r="AN9" s="124" t="s">
        <v>300</v>
      </c>
      <c r="AO9" s="124" t="s">
        <v>301</v>
      </c>
      <c r="AQ9" s="101" t="s">
        <v>280</v>
      </c>
      <c r="AR9" s="101" t="s">
        <v>417</v>
      </c>
    </row>
    <row r="10" spans="2:44" ht="13.8" x14ac:dyDescent="0.25">
      <c r="C10" s="291">
        <v>1</v>
      </c>
      <c r="D10" s="337"/>
      <c r="E10" s="53"/>
      <c r="F10" s="362" t="str">
        <f>IF(D10="","",VLOOKUP(D10,'G-7 WaterC'' Data'!$B$2:$G$8,2,FALSE))</f>
        <v/>
      </c>
      <c r="G10" s="363" t="str">
        <f>IFERROR(VLOOKUP(F10,'G-7 WaterC'' Data'!$C$4:$D$8,2,FALSE),"")</f>
        <v/>
      </c>
      <c r="H10" s="54"/>
      <c r="I10" s="363" t="str">
        <f>IFERROR(INDEX('G-7 WaterC'' Data'!$H$4:$L$8,MATCH(D10,'G-7 WaterC'' Data'!$B$4:$B$8,0),MATCH(H10,'G-7 WaterC'' Data'!$H$3:$L$3,0)),"")</f>
        <v/>
      </c>
      <c r="J10" s="320"/>
      <c r="K10" s="362" t="str">
        <f>IF(J10="","",IF(VLOOKUP(J10,'G-7 WaterC'' Data'!$AK$4:$AM$6,2,FALSE)=0,"Spatial Data Missing ⚠",VLOOKUP(J10,'G-7 WaterC'' Data'!$AK$4:$AM$6,2,FALSE)))</f>
        <v/>
      </c>
      <c r="L10" s="368" t="str">
        <f>IF(J10="","",IF(VLOOKUP(J10,'G-7 WaterC'' Data'!$AK$4:$AM$9,3,FALSE)=0,"Spatial Data Missing ⚠",VLOOKUP(J10,'G-7 WaterC'' Data'!$AK$4:$AM$6,3,FALSE)))</f>
        <v/>
      </c>
      <c r="M10" s="54"/>
      <c r="N10" s="363" t="str">
        <f>IF(M10="","",IF(VLOOKUP(M10,'G-7 WaterC'' Data'!$AA$4:$AB$7,2,FALSE)=0,"Spatial Data Missing ⚠",VLOOKUP(M10,'G-7 WaterC'' Data'!$AA$4:$AB$7,2,FALSE)))</f>
        <v/>
      </c>
      <c r="O10" s="60"/>
      <c r="P10" s="363" t="str">
        <f>IF(O10="","",IF(VLOOKUP(O10,'G-7 WaterC'' Data'!$AD$4:$AE$14,2,FALSE)=0,"Spatial Data Missing ⚠",VLOOKUP(O10,'G-7 WaterC'' Data'!$AD$4:$AE$14,2,FALSE)))</f>
        <v/>
      </c>
      <c r="Q10" s="369" t="str">
        <f>IF(D10="","",VLOOKUP(D10,'G-7 WaterC'' Data'!$B$2:$G$8,6,FALSE))</f>
        <v/>
      </c>
      <c r="R10" s="376" t="str">
        <f>IFERROR(IF(D10="","",IF(AND(Q10='G-1 All Habitats'!$X$3,U10&gt;0),V10+W10,IF(AND(Q10='G-1 All Habitats'!$X$3,T10&gt;0),V10+W10,IF(AND(Q10='G-1 All Habitats'!$X$3,AD10&gt;0),"Any Loss Unacceptable ⚠",IF(AND(Q10='G-1 All Habitats'!$X$3,AE10&gt;0),"Any Loss Unacceptable ⚠", E10*G10*I10*L10*N10*P10 ))))),"Check Data ▲")</f>
        <v/>
      </c>
      <c r="S10" s="32"/>
      <c r="T10" s="791"/>
      <c r="U10" s="801"/>
      <c r="V10" s="802" t="str">
        <f>IFERROR(IF(T10&gt;E10,"Error in Lengths ▲",T10*G10*I10*L10*N10*P10),"")</f>
        <v/>
      </c>
      <c r="W10" s="802" t="str">
        <f>IFERROR(IF(D10="","",U10*G10*I10*L10*N10*P10),"")</f>
        <v/>
      </c>
      <c r="X10" s="802" t="str">
        <f>IFERROR(IF(D10="","", IF(AND(F10="V.High",Z10="Yes"), "Unacceptable Loss ⚠", IF(E10&gt;(T10+U10),E10-T10-U10,0))),"")</f>
        <v/>
      </c>
      <c r="Y10" s="875" t="str">
        <f>IFERROR(IF(E10="","",IF((V10+W10)&gt;R10,0, IF(AND(Z10="Yes", D10="Priority habitat"), "Alternative compensation agreed ✓", IF(AND(D10="Priority habitat", U10+T10&lt;&gt;E10),"Any loss unacceptable ▲", R10-V10-W10)))),"Check Data ⚠")</f>
        <v/>
      </c>
      <c r="Z10" s="876"/>
      <c r="AA10" s="703"/>
      <c r="AB10" s="137"/>
      <c r="AC10" s="137"/>
      <c r="AD10" s="57" t="str">
        <f>IF(Q10="","",IF(Q10='G-1 All Habitats'!$X$3,E10-T10-U10,"None"))</f>
        <v/>
      </c>
      <c r="AE10" s="58" t="str">
        <f>IF(Q10="","", IF(Q10='G-1 All Habitats'!$X$3, AD10*G10*I10*L10*N10*P10,"None"))</f>
        <v/>
      </c>
      <c r="AH10" s="30">
        <f>IFERROR(IF(T10+U10&gt;E10,1,0),"")</f>
        <v>0</v>
      </c>
      <c r="AI10" s="124" t="str">
        <f>IF(D10="","",IF(T10&gt;0,TRUE,FALSE))</f>
        <v/>
      </c>
      <c r="AJ10" s="124" t="str">
        <f>IF(D10="","",IF(U10&gt;0,TRUE,FALSE))</f>
        <v/>
      </c>
      <c r="AL10" s="124">
        <v>1</v>
      </c>
      <c r="AN10" s="124" t="str">
        <f t="array" ref="AN10">IFERROR(INDEX($AL$10:$AL$258, MATCH(0, IF(TRUE=$AI$10:$AI$258, COUNTIF($AN9:$AN$9, $AL$10:$AL$258), ""), 0)),"")</f>
        <v/>
      </c>
      <c r="AO10" s="124" t="str">
        <f t="array" ref="AO10">IFERROR(INDEX($AL$10:$AL$258, MATCH(0, IF(TRUE=$AJ$10:$AJ$258, COUNTIF($AO9:$AO$9, $AL$10:$AL$258), ""), 0)),"")</f>
        <v/>
      </c>
      <c r="AQ10" s="30" t="str">
        <f>IFERROR(INDEX('G-7 WaterC'' Data'!$AZ$3:$AZ$7,MATCH(D10,'G-7 WaterC'' Data'!$AY$3:$AY$7,0)),"")</f>
        <v/>
      </c>
      <c r="AR10" s="30" t="str">
        <f>IFERROR(INDEX('G-7 WaterC'' Data'!AZ10:AZ14,MATCH(D10,'G-7 WaterC'' Data'!$AY$10:$AY$14,0)),"")</f>
        <v/>
      </c>
    </row>
    <row r="11" spans="2:44" ht="13.8" x14ac:dyDescent="0.25">
      <c r="C11" s="110">
        <v>2</v>
      </c>
      <c r="D11" s="337"/>
      <c r="E11" s="53"/>
      <c r="F11" s="362" t="str">
        <f>IF(D11="","",VLOOKUP(D11,'G-7 WaterC'' Data'!$B$2:$G$8,2,FALSE))</f>
        <v/>
      </c>
      <c r="G11" s="363" t="str">
        <f>IFERROR(VLOOKUP(F11,'G-7 WaterC'' Data'!$C$4:$D$8,2,FALSE),"")</f>
        <v/>
      </c>
      <c r="H11" s="54"/>
      <c r="I11" s="363" t="str">
        <f>IFERROR(INDEX('G-7 WaterC'' Data'!$H$4:$L$8,MATCH(D11,'G-7 WaterC'' Data'!$B$4:$B$8,0),MATCH(H11,'G-7 WaterC'' Data'!$H$3:$L$3,0)),"")</f>
        <v/>
      </c>
      <c r="J11" s="320"/>
      <c r="K11" s="398" t="str">
        <f>IF(J11="","",IF(VLOOKUP(J11,'G-7 WaterC'' Data'!$AK$4:$AM$6,2,FALSE)=0,"Spatial Data Missing ⚠",VLOOKUP(J11,'G-7 WaterC'' Data'!$AK$4:$AM$6,2,FALSE)))</f>
        <v/>
      </c>
      <c r="L11" s="368" t="str">
        <f>IF(J11="","",IF(VLOOKUP(J11,'G-7 WaterC'' Data'!$AK$4:$AM$9,3,FALSE)=0,"Spatial Data Missing ⚠",VLOOKUP(J11,'G-7 WaterC'' Data'!$AK$4:$AM$6,3,FALSE)))</f>
        <v/>
      </c>
      <c r="M11" s="54"/>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Data'!$B$2:$G$8,6,FALSE))</f>
        <v/>
      </c>
      <c r="R11" s="376" t="str">
        <f>IFERROR(IF(D11="","",IF(AND(Q11='G-1 All Habitats'!$X$3,U11&gt;0),V11+W11,IF(AND(Q11='G-1 All Habitats'!$X$3,T11&gt;0),V11+W11,IF(AND(Q11='G-1 All Habitats'!$X$3,AD11&gt;0),"Any Loss Unacceptable ⚠",IF(AND(Q11='G-1 All Habitats'!$X$3,AE11&gt;0),"Any Loss Unacceptable ⚠", E11*G11*I11*L11*N11*P11 ))))),"Check Data ▲")</f>
        <v/>
      </c>
      <c r="S11" s="32"/>
      <c r="T11" s="54"/>
      <c r="U11" s="125"/>
      <c r="V11" s="374" t="str">
        <f t="shared" ref="V11:V74" si="0">IFERROR(IF(T11&gt;E11,"Error in Lengths ▲",T11*G11*I11*L11*N11*P11),"")</f>
        <v/>
      </c>
      <c r="W11" s="374" t="str">
        <f t="shared" ref="W11:W74" si="1">IFERROR(IF(D11="","",U11*G11*I11*L11*N11*P11),"")</f>
        <v/>
      </c>
      <c r="X11" s="374" t="str">
        <f t="shared" ref="X11:X74" si="2">IFERROR(IF(D11="","", IF(AND(F11="V.High",Z11="Yes"), "Unacceptable Loss ⚠", IF(E11&gt;(T11+U11),E11-T11-U11,0))),"")</f>
        <v/>
      </c>
      <c r="Y11" s="670" t="str">
        <f t="shared" ref="Y11:Y74" si="3">IFERROR(IF(E11="","",IF((V11+W11)&gt;R11,0, IF(AND(Z11="Yes", D11="Priority habitat"), "Alternative compensation agreed ✓", IF(AND(D11="Priority habitat", U11+T11&lt;&gt;E11),"Any loss unacceptable ▲", R11-V11-W11)))),"Check Data ⚠")</f>
        <v/>
      </c>
      <c r="Z11" s="706"/>
      <c r="AA11" s="704"/>
      <c r="AB11" s="120"/>
      <c r="AC11" s="120"/>
      <c r="AD11" s="57" t="str">
        <f>IF(Q11="","",IF(Q11='G-1 All Habitats'!$X$3,E11-T11-U11,"None"))</f>
        <v/>
      </c>
      <c r="AE11" s="58" t="str">
        <f>IF(Q11="","", IF(Q11='G-1 All Habitats'!$X$3, AD11*G11*I11*L11*N11*P11,"None"))</f>
        <v/>
      </c>
      <c r="AH11" s="30">
        <f t="shared" ref="AH11:AH74" si="4">IFERROR(IF(T11+U11&gt;E11,1,0),"")</f>
        <v>0</v>
      </c>
      <c r="AI11" s="124" t="str">
        <f t="shared" ref="AI11:AI74" si="5">IF(D11="","",IF(T11&gt;0,TRUE,FALSE))</f>
        <v/>
      </c>
      <c r="AJ11" s="124" t="str">
        <f t="shared" ref="AJ11:AJ74" si="6">IF(D11="","",IF(U11&gt;0,TRUE,FALSE))</f>
        <v/>
      </c>
      <c r="AL11" s="124">
        <v>2</v>
      </c>
      <c r="AN11" s="124" t="str">
        <f t="array" ref="AN11">IFERROR(INDEX($AL$10:$AL$258, MATCH(0, IF(TRUE=$AI$10:$AI$258, COUNTIF($AN$9:$AN10, $AL$10:$AL$258), ""), 0)),"")</f>
        <v/>
      </c>
      <c r="AO11" s="124" t="str">
        <f t="array" ref="AO11">IFERROR(INDEX($AL$10:$AL$258, MATCH(0, IF(TRUE=$AJ$10:$AJ$258, COUNTIF($AO$9:$AO10, $AL$10:$AL$258), ""), 0)),"")</f>
        <v/>
      </c>
      <c r="AQ11" s="30" t="str">
        <f>IFERROR(INDEX('G-7 WaterC'' Data'!$AZ$3:$AZ$7,MATCH(D11,'G-7 WaterC'' Data'!$AY$3:$AY$7,0)),"")</f>
        <v/>
      </c>
      <c r="AR11" s="30" t="str">
        <f>IFERROR(INDEX('G-7 WaterC'' Data'!AZ11:AZ15,MATCH(D11,'G-7 WaterC'' Data'!$AY$10:$AY$14,0)),"")</f>
        <v/>
      </c>
    </row>
    <row r="12" spans="2:44" ht="13.8" x14ac:dyDescent="0.25">
      <c r="C12" s="110">
        <v>3</v>
      </c>
      <c r="D12" s="337"/>
      <c r="E12" s="53"/>
      <c r="F12" s="362" t="str">
        <f>IF(D12="","",VLOOKUP(D12,'G-7 WaterC'' Data'!$B$2:$G$8,2,FALSE))</f>
        <v/>
      </c>
      <c r="G12" s="363" t="str">
        <f>IFERROR(VLOOKUP(F12,'G-7 WaterC'' Data'!$C$4:$D$8,2,FALSE),"")</f>
        <v/>
      </c>
      <c r="H12" s="54"/>
      <c r="I12" s="363" t="str">
        <f>IFERROR(INDEX('G-7 WaterC'' Data'!$H$4:$L$8,MATCH(D12,'G-7 WaterC'' Data'!$B$4:$B$8,0),MATCH(H12,'G-7 WaterC'' Data'!$H$3:$L$3,0)),"")</f>
        <v/>
      </c>
      <c r="J12" s="320"/>
      <c r="K12" s="398" t="str">
        <f>IF(J12="","",IF(VLOOKUP(J12,'G-7 WaterC'' Data'!$AK$4:$AM$6,2,FALSE)=0,"Spatial Data Missing ⚠",VLOOKUP(J12,'G-7 WaterC'' Data'!$AK$4:$AM$6,2,FALSE)))</f>
        <v/>
      </c>
      <c r="L12" s="368" t="str">
        <f>IF(J12="","",IF(VLOOKUP(J12,'G-7 WaterC'' Data'!$AK$4:$AM$9,3,FALSE)=0,"Spatial Data Missing ⚠",VLOOKUP(J12,'G-7 WaterC'' Data'!$AK$4:$AM$6,3,FALSE)))</f>
        <v/>
      </c>
      <c r="M12" s="54"/>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Data'!$B$2:$G$8,6,FALSE))</f>
        <v/>
      </c>
      <c r="R12" s="376" t="str">
        <f>IFERROR(IF(D12="","",IF(AND(Q12='G-1 All Habitats'!$X$3,U12&gt;0),V12+W12,IF(AND(Q12='G-1 All Habitats'!$X$3,T12&gt;0),V12+W12,IF(AND(Q12='G-1 All Habitats'!$X$3,AD12&gt;0),"Any Loss Unacceptable ⚠",IF(AND(Q12='G-1 All Habitats'!$X$3,AE12&gt;0),"Any Loss Unacceptable ⚠", E12*G12*I12*L12*N12*P12 ))))),"Check Data ▲")</f>
        <v/>
      </c>
      <c r="S12" s="32"/>
      <c r="T12" s="54"/>
      <c r="U12" s="125"/>
      <c r="V12" s="374" t="str">
        <f t="shared" si="0"/>
        <v/>
      </c>
      <c r="W12" s="374" t="str">
        <f t="shared" si="1"/>
        <v/>
      </c>
      <c r="X12" s="374" t="str">
        <f t="shared" si="2"/>
        <v/>
      </c>
      <c r="Y12" s="670" t="str">
        <f t="shared" si="3"/>
        <v/>
      </c>
      <c r="Z12" s="706"/>
      <c r="AA12" s="704"/>
      <c r="AB12" s="120"/>
      <c r="AC12" s="120"/>
      <c r="AD12" s="57" t="str">
        <f>IF(Q12="","",IF(Q12='G-1 All Habitats'!$X$3,E12-T12-U12,"None"))</f>
        <v/>
      </c>
      <c r="AE12" s="58" t="str">
        <f>IF(Q12="","", IF(Q12='G-1 All Habitats'!$X$3, AD12*G12*I12*L12*N12*P12,"None"))</f>
        <v/>
      </c>
      <c r="AH12" s="30">
        <f t="shared" si="4"/>
        <v>0</v>
      </c>
      <c r="AI12" s="124" t="str">
        <f t="shared" si="5"/>
        <v/>
      </c>
      <c r="AJ12" s="124" t="str">
        <f t="shared" si="6"/>
        <v/>
      </c>
      <c r="AL12" s="124">
        <v>3</v>
      </c>
      <c r="AN12" s="124" t="str">
        <f t="array" ref="AN12">IFERROR(INDEX($AL$10:$AL$258, MATCH(0, IF(TRUE=$AI$10:$AI$258, COUNTIF($AN$9:$AN11, $AL$10:$AL$258), ""), 0)),"")</f>
        <v/>
      </c>
      <c r="AO12" s="124" t="str">
        <f t="array" ref="AO12">IFERROR(INDEX($AL$10:$AL$258, MATCH(0, IF(TRUE=$AJ$10:$AJ$258, COUNTIF($AO$9:$AO11, $AL$10:$AL$258), ""), 0)),"")</f>
        <v/>
      </c>
      <c r="AQ12" s="30" t="str">
        <f>IFERROR(INDEX('G-7 WaterC'' Data'!$AZ$3:$AZ$7,MATCH(D12,'G-7 WaterC'' Data'!$AY$3:$AY$7,0)),"")</f>
        <v/>
      </c>
      <c r="AR12" s="30" t="str">
        <f>IFERROR(INDEX('G-7 WaterC'' Data'!AZ12:AZ16,MATCH(D12,'G-7 WaterC'' Data'!$AY$10:$AY$14,0)),"")</f>
        <v/>
      </c>
    </row>
    <row r="13" spans="2:44" ht="13.8" x14ac:dyDescent="0.25">
      <c r="C13" s="110">
        <v>4</v>
      </c>
      <c r="D13" s="337"/>
      <c r="E13" s="53"/>
      <c r="F13" s="362" t="str">
        <f>IF(D13="","",VLOOKUP(D13,'G-7 WaterC'' Data'!$B$2:$G$8,2,FALSE))</f>
        <v/>
      </c>
      <c r="G13" s="363" t="str">
        <f>IFERROR(VLOOKUP(F13,'G-7 WaterC'' Data'!$C$4:$D$8,2,FALSE),"")</f>
        <v/>
      </c>
      <c r="H13" s="54"/>
      <c r="I13" s="363" t="str">
        <f>IFERROR(INDEX('G-7 WaterC'' Data'!$H$4:$L$8,MATCH(D13,'G-7 WaterC'' Data'!$B$4:$B$8,0),MATCH(H13,'G-7 WaterC'' Data'!$H$3:$L$3,0)),"")</f>
        <v/>
      </c>
      <c r="J13" s="320"/>
      <c r="K13" s="398" t="str">
        <f>IF(J13="","",IF(VLOOKUP(J13,'G-7 WaterC'' Data'!$AK$4:$AM$6,2,FALSE)=0,"Spatial Data Missing ⚠",VLOOKUP(J13,'G-7 WaterC'' Data'!$AK$4:$AM$6,2,FALSE)))</f>
        <v/>
      </c>
      <c r="L13" s="368" t="str">
        <f>IF(J13="","",IF(VLOOKUP(J13,'G-7 WaterC'' Data'!$AK$4:$AM$9,3,FALSE)=0,"Spatial Data Missing ⚠",VLOOKUP(J13,'G-7 WaterC'' Data'!$AK$4:$AM$6,3,FALSE)))</f>
        <v/>
      </c>
      <c r="M13" s="54"/>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Data'!$B$2:$G$8,6,FALSE))</f>
        <v/>
      </c>
      <c r="R13" s="376" t="str">
        <f>IFERROR(IF(D13="","",IF(AND(Q13='G-1 All Habitats'!$X$3,U13&gt;0),V13+W13,IF(AND(Q13='G-1 All Habitats'!$X$3,T13&gt;0),V13+W13,IF(AND(Q13='G-1 All Habitats'!$X$3,AD13&gt;0),"Any Loss Unacceptable ⚠",IF(AND(Q13='G-1 All Habitats'!$X$3,AE13&gt;0),"Any Loss Unacceptable ⚠", E13*G13*I13*L13*N13*P13 ))))),"Check Data ▲")</f>
        <v/>
      </c>
      <c r="S13" s="32"/>
      <c r="T13" s="54"/>
      <c r="U13" s="125"/>
      <c r="V13" s="374" t="str">
        <f t="shared" si="0"/>
        <v/>
      </c>
      <c r="W13" s="374" t="str">
        <f t="shared" si="1"/>
        <v/>
      </c>
      <c r="X13" s="374" t="str">
        <f t="shared" si="2"/>
        <v/>
      </c>
      <c r="Y13" s="670" t="str">
        <f t="shared" si="3"/>
        <v/>
      </c>
      <c r="Z13" s="706"/>
      <c r="AA13" s="704"/>
      <c r="AB13" s="120"/>
      <c r="AC13" s="120"/>
      <c r="AD13" s="57" t="str">
        <f>IF(Q13="","",IF(Q13='G-1 All Habitats'!$X$3,E13-T13-U13,"None"))</f>
        <v/>
      </c>
      <c r="AE13" s="58" t="str">
        <f>IF(Q13="","", IF(Q13='G-1 All Habitats'!$X$3, AD13*G13*I13*L13*N13*P13,"None"))</f>
        <v/>
      </c>
      <c r="AH13" s="30">
        <f t="shared" si="4"/>
        <v>0</v>
      </c>
      <c r="AI13" s="124" t="str">
        <f t="shared" si="5"/>
        <v/>
      </c>
      <c r="AJ13" s="124" t="str">
        <f t="shared" si="6"/>
        <v/>
      </c>
      <c r="AL13" s="124">
        <v>4</v>
      </c>
      <c r="AN13" s="124" t="str">
        <f t="array" ref="AN13">IFERROR(INDEX($AL$10:$AL$258, MATCH(0, IF(TRUE=$AI$10:$AI$258, COUNTIF($AN$9:$AN12, $AL$10:$AL$258), ""), 0)),"")</f>
        <v/>
      </c>
      <c r="AO13" s="124" t="str">
        <f t="array" ref="AO13">IFERROR(INDEX($AL$10:$AL$258, MATCH(0, IF(TRUE=$AJ$10:$AJ$258, COUNTIF($AO$9:$AO12, $AL$10:$AL$258), ""), 0)),"")</f>
        <v/>
      </c>
      <c r="AQ13" s="30" t="str">
        <f>IFERROR(INDEX('G-7 WaterC'' Data'!$AZ$3:$AZ$7,MATCH(D13,'G-7 WaterC'' Data'!$AY$3:$AY$7,0)),"")</f>
        <v/>
      </c>
      <c r="AR13" s="30" t="str">
        <f>IFERROR(INDEX('G-7 WaterC'' Data'!AZ13:AZ17,MATCH(D13,'G-7 WaterC'' Data'!$AY$10:$AY$14,0)),"")</f>
        <v/>
      </c>
    </row>
    <row r="14" spans="2:44" ht="13.8" x14ac:dyDescent="0.25">
      <c r="C14" s="110">
        <v>5</v>
      </c>
      <c r="D14" s="337"/>
      <c r="E14" s="139"/>
      <c r="F14" s="362" t="str">
        <f>IF(D14="","",VLOOKUP(D14,'G-7 WaterC'' Data'!$B$2:$G$8,2,FALSE))</f>
        <v/>
      </c>
      <c r="G14" s="363" t="str">
        <f>IFERROR(VLOOKUP(F14,'G-7 WaterC'' Data'!$C$4:$D$8,2,FALSE),"")</f>
        <v/>
      </c>
      <c r="H14" s="114"/>
      <c r="I14" s="363" t="str">
        <f>IFERROR(INDEX('G-7 WaterC'' Data'!$H$4:$L$8,MATCH(D14,'G-7 WaterC'' Data'!$B$4:$B$8,0),MATCH(H14,'G-7 WaterC'' Data'!$H$3:$L$3,0)),"")</f>
        <v/>
      </c>
      <c r="J14" s="320"/>
      <c r="K14" s="398" t="str">
        <f>IF(J14="","",IF(VLOOKUP(J14,'G-7 WaterC'' Data'!$AK$4:$AM$6,2,FALSE)=0,"Spatial Data Missing ⚠",VLOOKUP(J14,'G-7 WaterC'' Data'!$AK$4:$AM$6,2,FALSE)))</f>
        <v/>
      </c>
      <c r="L14" s="368" t="str">
        <f>IF(J14="","",IF(VLOOKUP(J14,'G-7 WaterC'' Data'!$AK$4:$AM$9,3,FALSE)=0,"Spatial Data Missing ⚠",VLOOKUP(J14,'G-7 WaterC'' Data'!$AK$4:$AM$6,3,FALSE)))</f>
        <v/>
      </c>
      <c r="M14" s="54"/>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Data'!$B$2:$G$8,6,FALSE))</f>
        <v/>
      </c>
      <c r="R14" s="376" t="str">
        <f>IFERROR(IF(D14="","",IF(AND(Q14='G-1 All Habitats'!$X$3,U14&gt;0),V14+W14,IF(AND(Q14='G-1 All Habitats'!$X$3,T14&gt;0),V14+W14,IF(AND(Q14='G-1 All Habitats'!$X$3,AD14&gt;0),"Any Loss Unacceptable ⚠",IF(AND(Q14='G-1 All Habitats'!$X$3,AE14&gt;0),"Any Loss Unacceptable ⚠", E14*G14*I14*L14*N14*P14 ))))),"Check Data ▲")</f>
        <v/>
      </c>
      <c r="S14" s="32"/>
      <c r="T14" s="54"/>
      <c r="U14" s="125"/>
      <c r="V14" s="374" t="str">
        <f t="shared" si="0"/>
        <v/>
      </c>
      <c r="W14" s="374" t="str">
        <f t="shared" si="1"/>
        <v/>
      </c>
      <c r="X14" s="374" t="str">
        <f t="shared" si="2"/>
        <v/>
      </c>
      <c r="Y14" s="670" t="str">
        <f t="shared" si="3"/>
        <v/>
      </c>
      <c r="Z14" s="706"/>
      <c r="AA14" s="704"/>
      <c r="AB14" s="120"/>
      <c r="AC14" s="120"/>
      <c r="AD14" s="57" t="str">
        <f>IF(Q14="","",IF(Q14='G-1 All Habitats'!$X$3,E14-T14-U14,"None"))</f>
        <v/>
      </c>
      <c r="AE14" s="58" t="str">
        <f>IF(Q14="","", IF(Q14='G-1 All Habitats'!$X$3, AD14*G14*I14*L14*N14*P14,"None"))</f>
        <v/>
      </c>
      <c r="AH14" s="30">
        <f t="shared" si="4"/>
        <v>0</v>
      </c>
      <c r="AI14" s="124" t="str">
        <f t="shared" si="5"/>
        <v/>
      </c>
      <c r="AJ14" s="124" t="str">
        <f t="shared" si="6"/>
        <v/>
      </c>
      <c r="AL14" s="124">
        <v>5</v>
      </c>
      <c r="AN14" s="124" t="str">
        <f t="array" ref="AN14">IFERROR(INDEX($AL$10:$AL$258, MATCH(0, IF(TRUE=$AI$10:$AI$258, COUNTIF($AN$9:$AN13, $AL$10:$AL$258), ""), 0)),"")</f>
        <v/>
      </c>
      <c r="AO14" s="124" t="str">
        <f t="array" ref="AO14">IFERROR(INDEX($AL$10:$AL$258, MATCH(0, IF(TRUE=$AJ$10:$AJ$258, COUNTIF($AO$9:$AO13, $AL$10:$AL$258), ""), 0)),"")</f>
        <v/>
      </c>
      <c r="AQ14" s="30" t="str">
        <f>IFERROR(INDEX('G-7 WaterC'' Data'!$AZ$3:$AZ$7,MATCH(D14,'G-7 WaterC'' Data'!$AY$3:$AY$7,0)),"")</f>
        <v/>
      </c>
      <c r="AR14" s="30" t="str">
        <f>IFERROR(INDEX('G-7 WaterC'' Data'!AZ14:AZ18,MATCH(D14,'G-7 WaterC'' Data'!$AY$10:$AY$14,0)),"")</f>
        <v/>
      </c>
    </row>
    <row r="15" spans="2:44" ht="13.8" x14ac:dyDescent="0.25">
      <c r="C15" s="110">
        <v>6</v>
      </c>
      <c r="D15" s="337"/>
      <c r="E15" s="139"/>
      <c r="F15" s="362" t="str">
        <f>IF(D15="","",VLOOKUP(D15,'G-7 WaterC'' Data'!$B$2:$G$8,2,FALSE))</f>
        <v/>
      </c>
      <c r="G15" s="363" t="str">
        <f>IFERROR(VLOOKUP(F15,'G-7 WaterC'' Data'!$C$4:$D$8,2,FALSE),"")</f>
        <v/>
      </c>
      <c r="H15" s="114"/>
      <c r="I15" s="363" t="str">
        <f>IFERROR(INDEX('G-7 WaterC'' Data'!$H$4:$L$8,MATCH(D15,'G-7 WaterC'' Data'!$B$4:$B$8,0),MATCH(H15,'G-7 WaterC'' Data'!$H$3:$L$3,0)),"")</f>
        <v/>
      </c>
      <c r="J15" s="320"/>
      <c r="K15" s="398" t="str">
        <f>IF(J15="","",IF(VLOOKUP(J15,'G-7 WaterC'' Data'!$AK$4:$AM$6,2,FALSE)=0,"Spatial Data Missing ⚠",VLOOKUP(J15,'G-7 WaterC'' Data'!$AK$4:$AM$6,2,FALSE)))</f>
        <v/>
      </c>
      <c r="L15" s="368" t="str">
        <f>IF(J15="","",IF(VLOOKUP(J15,'G-7 WaterC'' Data'!$AK$4:$AM$9,3,FALSE)=0,"Spatial Data Missing ⚠",VLOOKUP(J15,'G-7 WaterC'' Data'!$AK$4:$AM$6,3,FALSE)))</f>
        <v/>
      </c>
      <c r="M15" s="54"/>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Data'!$B$2:$G$8,6,FALSE))</f>
        <v/>
      </c>
      <c r="R15" s="376" t="str">
        <f>IFERROR(IF(D15="","",IF(AND(Q15='G-1 All Habitats'!$X$3,U15&gt;0),V15+W15,IF(AND(Q15='G-1 All Habitats'!$X$3,T15&gt;0),V15+W15,IF(AND(Q15='G-1 All Habitats'!$X$3,AD15&gt;0),"Any Loss Unacceptable ⚠",IF(AND(Q15='G-1 All Habitats'!$X$3,AE15&gt;0),"Any Loss Unacceptable ⚠", E15*G15*I15*L15*N15*P15 ))))),"Check Data ▲")</f>
        <v/>
      </c>
      <c r="S15" s="32"/>
      <c r="T15" s="114"/>
      <c r="U15" s="125"/>
      <c r="V15" s="374" t="str">
        <f t="shared" si="0"/>
        <v/>
      </c>
      <c r="W15" s="374" t="str">
        <f t="shared" si="1"/>
        <v/>
      </c>
      <c r="X15" s="374" t="str">
        <f t="shared" si="2"/>
        <v/>
      </c>
      <c r="Y15" s="670" t="str">
        <f t="shared" si="3"/>
        <v/>
      </c>
      <c r="Z15" s="706"/>
      <c r="AA15" s="704"/>
      <c r="AB15" s="120"/>
      <c r="AC15" s="120"/>
      <c r="AD15" s="57" t="str">
        <f>IF(Q15="","",IF(Q15='G-1 All Habitats'!$X$3,E15-T15-U15,"None"))</f>
        <v/>
      </c>
      <c r="AE15" s="58" t="str">
        <f>IF(Q15="","", IF(Q15='G-1 All Habitats'!$X$3, AD15*G15*I15*L15*N15*P15,"None"))</f>
        <v/>
      </c>
      <c r="AH15" s="30">
        <f t="shared" si="4"/>
        <v>0</v>
      </c>
      <c r="AI15" s="124" t="str">
        <f t="shared" si="5"/>
        <v/>
      </c>
      <c r="AJ15" s="124" t="str">
        <f t="shared" si="6"/>
        <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
      </c>
      <c r="AR15" s="30" t="str">
        <f>IFERROR(INDEX('G-7 WaterC'' Data'!AZ15:AZ19,MATCH(D15,'G-7 WaterC'' Data'!$AY$10:$AY$14,0)),"")</f>
        <v/>
      </c>
    </row>
    <row r="16" spans="2:44" ht="13.8" x14ac:dyDescent="0.25">
      <c r="C16" s="110">
        <v>7</v>
      </c>
      <c r="D16" s="337"/>
      <c r="E16" s="139"/>
      <c r="F16" s="362" t="str">
        <f>IF(D16="","",VLOOKUP(D16,'G-7 WaterC'' Data'!$B$2:$G$8,2,FALSE))</f>
        <v/>
      </c>
      <c r="G16" s="363" t="str">
        <f>IFERROR(VLOOKUP(F16,'G-7 WaterC'' Data'!$C$4:$D$8,2,FALSE),"")</f>
        <v/>
      </c>
      <c r="H16" s="114"/>
      <c r="I16" s="363" t="str">
        <f>IFERROR(INDEX('G-7 WaterC'' Data'!$H$4:$L$8,MATCH(D16,'G-7 WaterC'' Data'!$B$4:$B$8,0),MATCH(H16,'G-7 WaterC'' Data'!$H$3:$L$3,0)),"")</f>
        <v/>
      </c>
      <c r="J16" s="320"/>
      <c r="K16" s="398" t="str">
        <f>IF(J16="","",IF(VLOOKUP(J16,'G-7 WaterC'' Data'!$AK$4:$AM$6,2,FALSE)=0,"Spatial Data Missing ⚠",VLOOKUP(J16,'G-7 WaterC'' Data'!$AK$4:$AM$6,2,FALSE)))</f>
        <v/>
      </c>
      <c r="L16" s="368" t="str">
        <f>IF(J16="","",IF(VLOOKUP(J16,'G-7 WaterC'' Data'!$AK$4:$AM$9,3,FALSE)=0,"Spatial Data Missing ⚠",VLOOKUP(J16,'G-7 WaterC'' Data'!$AK$4:$AM$6,3,FALSE)))</f>
        <v/>
      </c>
      <c r="M16" s="54"/>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Data'!$B$2:$G$8,6,FALSE))</f>
        <v/>
      </c>
      <c r="R16" s="376" t="str">
        <f>IFERROR(IF(D16="","",IF(AND(Q16='G-1 All Habitats'!$X$3,U16&gt;0),V16+W16,IF(AND(Q16='G-1 All Habitats'!$X$3,T16&gt;0),V16+W16,IF(AND(Q16='G-1 All Habitats'!$X$3,AD16&gt;0),"Any Loss Unacceptable ⚠",IF(AND(Q16='G-1 All Habitats'!$X$3,AE16&gt;0),"Any Loss Unacceptable ⚠", E16*G16*I16*L16*N16*P16 ))))),"Check Data ▲")</f>
        <v/>
      </c>
      <c r="S16" s="32"/>
      <c r="T16" s="114"/>
      <c r="U16" s="125"/>
      <c r="V16" s="374" t="str">
        <f t="shared" si="0"/>
        <v/>
      </c>
      <c r="W16" s="374" t="str">
        <f t="shared" si="1"/>
        <v/>
      </c>
      <c r="X16" s="374" t="str">
        <f t="shared" si="2"/>
        <v/>
      </c>
      <c r="Y16" s="670" t="str">
        <f t="shared" si="3"/>
        <v/>
      </c>
      <c r="Z16" s="706"/>
      <c r="AA16" s="704"/>
      <c r="AB16" s="120"/>
      <c r="AC16" s="120"/>
      <c r="AD16" s="57" t="str">
        <f>IF(Q16="","",IF(Q16='G-1 All Habitats'!$X$3,E16-T16-U16,"None"))</f>
        <v/>
      </c>
      <c r="AE16" s="58" t="str">
        <f>IF(Q16="","", IF(Q16='G-1 All Habitats'!$X$3, AD16*G16*I16*L16*N16*P16,"None"))</f>
        <v/>
      </c>
      <c r="AH16" s="30">
        <f t="shared" si="4"/>
        <v>0</v>
      </c>
      <c r="AI16" s="124" t="str">
        <f t="shared" si="5"/>
        <v/>
      </c>
      <c r="AJ16" s="124" t="str">
        <f t="shared" si="6"/>
        <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
      </c>
      <c r="AR16" s="30" t="str">
        <f>IFERROR(INDEX('G-7 WaterC'' Data'!AZ16:AZ20,MATCH(D16,'G-7 WaterC'' Data'!$AY$10:$AY$14,0)),"")</f>
        <v/>
      </c>
    </row>
    <row r="17" spans="3:44" ht="13.8" x14ac:dyDescent="0.25">
      <c r="C17" s="110">
        <v>8</v>
      </c>
      <c r="D17" s="337"/>
      <c r="E17" s="139"/>
      <c r="F17" s="362" t="str">
        <f>IF(D17="","",VLOOKUP(D17,'G-7 WaterC'' Data'!$B$2:$G$8,2,FALSE))</f>
        <v/>
      </c>
      <c r="G17" s="363" t="str">
        <f>IFERROR(VLOOKUP(F17,'G-7 WaterC'' Data'!$C$4:$D$8,2,FALSE),"")</f>
        <v/>
      </c>
      <c r="H17" s="114"/>
      <c r="I17" s="363" t="str">
        <f>IFERROR(INDEX('G-7 WaterC'' Data'!$H$4:$L$8,MATCH(D17,'G-7 WaterC'' Data'!$B$4:$B$8,0),MATCH(H17,'G-7 WaterC'' Data'!$H$3:$L$3,0)),"")</f>
        <v/>
      </c>
      <c r="J17" s="320"/>
      <c r="K17" s="398" t="str">
        <f>IF(J17="","",IF(VLOOKUP(J17,'G-7 WaterC'' Data'!$AK$4:$AM$6,2,FALSE)=0,"Spatial Data Missing ⚠",VLOOKUP(J17,'G-7 WaterC'' Data'!$AK$4:$AM$6,2,FALSE)))</f>
        <v/>
      </c>
      <c r="L17" s="368" t="str">
        <f>IF(J17="","",IF(VLOOKUP(J17,'G-7 WaterC'' Data'!$AK$4:$AM$9,3,FALSE)=0,"Spatial Data Missing ⚠",VLOOKUP(J17,'G-7 WaterC'' Data'!$AK$4:$AM$6,3,FALSE)))</f>
        <v/>
      </c>
      <c r="M17" s="54"/>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Data'!$B$2:$G$8,6,FALSE))</f>
        <v/>
      </c>
      <c r="R17" s="376" t="str">
        <f>IFERROR(IF(D17="","",IF(AND(Q17='G-1 All Habitats'!$X$3,U17&gt;0),V17+W17,IF(AND(Q17='G-1 All Habitats'!$X$3,T17&gt;0),V17+W17,IF(AND(Q17='G-1 All Habitats'!$X$3,AD17&gt;0),"Any Loss Unacceptable ⚠",IF(AND(Q17='G-1 All Habitats'!$X$3,AE17&gt;0),"Any Loss Unacceptable ⚠", E17*G17*I17*L17*N17*P17 ))))),"Check Data ▲")</f>
        <v/>
      </c>
      <c r="S17" s="32"/>
      <c r="T17" s="114"/>
      <c r="U17" s="125"/>
      <c r="V17" s="374" t="str">
        <f t="shared" si="0"/>
        <v/>
      </c>
      <c r="W17" s="374" t="str">
        <f t="shared" si="1"/>
        <v/>
      </c>
      <c r="X17" s="374" t="str">
        <f t="shared" si="2"/>
        <v/>
      </c>
      <c r="Y17" s="670" t="str">
        <f t="shared" si="3"/>
        <v/>
      </c>
      <c r="Z17" s="706"/>
      <c r="AA17" s="704"/>
      <c r="AB17" s="120"/>
      <c r="AC17" s="120"/>
      <c r="AD17" s="57" t="str">
        <f>IF(Q17="","",IF(Q17='G-1 All Habitats'!$X$3,E17-T17-U17,"None"))</f>
        <v/>
      </c>
      <c r="AE17" s="58" t="str">
        <f>IF(Q17="","", IF(Q17='G-1 All Habitats'!$X$3, AD17*G17*I17*L17*N17*P17,"None"))</f>
        <v/>
      </c>
      <c r="AH17" s="30">
        <f t="shared" si="4"/>
        <v>0</v>
      </c>
      <c r="AI17" s="124" t="str">
        <f t="shared" si="5"/>
        <v/>
      </c>
      <c r="AJ17" s="124" t="str">
        <f t="shared" si="6"/>
        <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
      </c>
      <c r="AR17" s="30" t="str">
        <f>IFERROR(INDEX('G-7 WaterC'' Data'!AZ17:AZ21,MATCH(D17,'G-7 WaterC'' Data'!$AY$10:$AY$14,0)),"")</f>
        <v/>
      </c>
    </row>
    <row r="18" spans="3:44" ht="13.8" x14ac:dyDescent="0.25">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3.8" x14ac:dyDescent="0.25">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3.8" x14ac:dyDescent="0.25">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3.8" x14ac:dyDescent="0.25">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3.8" x14ac:dyDescent="0.25">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3.8" x14ac:dyDescent="0.25">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3.8" x14ac:dyDescent="0.25">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3.8" x14ac:dyDescent="0.25">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3.8" x14ac:dyDescent="0.25">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3.8" x14ac:dyDescent="0.25">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3.8" x14ac:dyDescent="0.25">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3.8" x14ac:dyDescent="0.25">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3.8" x14ac:dyDescent="0.25">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3.8" x14ac:dyDescent="0.25">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3.8" x14ac:dyDescent="0.25">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3.8" x14ac:dyDescent="0.25">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3.8" x14ac:dyDescent="0.25">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3.8" x14ac:dyDescent="0.25">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3.8" x14ac:dyDescent="0.25">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3.8" x14ac:dyDescent="0.25">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3.8" x14ac:dyDescent="0.25">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3.8" x14ac:dyDescent="0.25">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3.8" x14ac:dyDescent="0.25">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3.8" x14ac:dyDescent="0.25">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3.8" x14ac:dyDescent="0.25">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3.8" x14ac:dyDescent="0.25">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3.8" x14ac:dyDescent="0.25">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3.8" x14ac:dyDescent="0.25">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3.8" x14ac:dyDescent="0.25">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3.8" x14ac:dyDescent="0.25">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3.8" x14ac:dyDescent="0.25">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3.8" x14ac:dyDescent="0.25">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3.8" x14ac:dyDescent="0.25">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3.8" x14ac:dyDescent="0.25">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3.8" x14ac:dyDescent="0.25">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3.8" x14ac:dyDescent="0.25">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3.8" x14ac:dyDescent="0.25">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3.8" x14ac:dyDescent="0.25">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3.8" x14ac:dyDescent="0.25">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3.8" x14ac:dyDescent="0.25">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3.8" x14ac:dyDescent="0.25">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3.8" x14ac:dyDescent="0.25">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3.8" x14ac:dyDescent="0.25">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3.8" x14ac:dyDescent="0.25">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3.8" x14ac:dyDescent="0.25">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3.8" x14ac:dyDescent="0.25">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3.8" x14ac:dyDescent="0.25">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3.8" x14ac:dyDescent="0.25">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3.8" x14ac:dyDescent="0.25">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3.8" x14ac:dyDescent="0.25">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3.8" x14ac:dyDescent="0.25">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3.8" x14ac:dyDescent="0.25">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3.8" x14ac:dyDescent="0.25">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3.8" x14ac:dyDescent="0.25">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3.8" x14ac:dyDescent="0.25">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3.8" x14ac:dyDescent="0.25">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3.8" x14ac:dyDescent="0.25">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3.8" x14ac:dyDescent="0.25">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3.8" x14ac:dyDescent="0.25">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3.8" x14ac:dyDescent="0.25">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3.8" x14ac:dyDescent="0.25">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3.8" x14ac:dyDescent="0.25">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3.8" x14ac:dyDescent="0.25">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3.8" x14ac:dyDescent="0.25">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3.8" x14ac:dyDescent="0.25">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3.8" x14ac:dyDescent="0.25">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3.8" x14ac:dyDescent="0.25">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3.8" x14ac:dyDescent="0.25">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3.8" x14ac:dyDescent="0.25">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3.8" x14ac:dyDescent="0.25">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3.8" x14ac:dyDescent="0.25">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3.8" x14ac:dyDescent="0.25">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3.8" x14ac:dyDescent="0.25">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3.8" x14ac:dyDescent="0.25">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3.8" x14ac:dyDescent="0.25">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3.8" x14ac:dyDescent="0.25">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3.8" x14ac:dyDescent="0.25">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3.8" x14ac:dyDescent="0.25">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3.8" x14ac:dyDescent="0.25">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3.8" x14ac:dyDescent="0.25">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3.8" x14ac:dyDescent="0.25">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3.8" x14ac:dyDescent="0.25">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3.8" x14ac:dyDescent="0.25">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3.8" x14ac:dyDescent="0.25">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3.8" x14ac:dyDescent="0.25">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3.8" x14ac:dyDescent="0.25">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3.8" x14ac:dyDescent="0.25">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3.8" x14ac:dyDescent="0.25">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3.8" x14ac:dyDescent="0.25">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3.8" x14ac:dyDescent="0.25">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3.8" x14ac:dyDescent="0.25">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3.8" x14ac:dyDescent="0.25">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3.8" x14ac:dyDescent="0.25">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3.8" x14ac:dyDescent="0.25">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3.8" x14ac:dyDescent="0.25">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3.8" x14ac:dyDescent="0.25">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3.8" x14ac:dyDescent="0.25">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3.8" x14ac:dyDescent="0.25">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3.8" x14ac:dyDescent="0.25">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3.8" x14ac:dyDescent="0.25">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3.8" x14ac:dyDescent="0.25">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3.8" x14ac:dyDescent="0.25">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3.8" x14ac:dyDescent="0.25">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3.8" x14ac:dyDescent="0.25">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3.8" x14ac:dyDescent="0.25">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3.8" x14ac:dyDescent="0.25">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3.8" x14ac:dyDescent="0.25">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3.8" x14ac:dyDescent="0.25">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3.8" x14ac:dyDescent="0.25">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3.8" x14ac:dyDescent="0.25">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3.8" x14ac:dyDescent="0.25">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3.8" x14ac:dyDescent="0.25">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3.8" x14ac:dyDescent="0.25">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3.8" x14ac:dyDescent="0.25">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3.8" x14ac:dyDescent="0.25">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3.8" x14ac:dyDescent="0.25">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3.8" x14ac:dyDescent="0.25">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3.8" x14ac:dyDescent="0.25">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3.8" x14ac:dyDescent="0.25">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3.8" x14ac:dyDescent="0.25">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3.8" x14ac:dyDescent="0.25">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3.8" x14ac:dyDescent="0.25">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3.8" x14ac:dyDescent="0.25">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3.8" x14ac:dyDescent="0.25">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3.8" x14ac:dyDescent="0.25">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3.8" x14ac:dyDescent="0.25">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3.8" x14ac:dyDescent="0.25">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3.8" x14ac:dyDescent="0.25">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3.8" x14ac:dyDescent="0.25">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3.8" x14ac:dyDescent="0.25">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3.8" x14ac:dyDescent="0.25">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3.8" x14ac:dyDescent="0.25">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3.8" x14ac:dyDescent="0.25">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3.8" x14ac:dyDescent="0.25">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3.8" x14ac:dyDescent="0.25">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3.8" x14ac:dyDescent="0.25">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3.8" x14ac:dyDescent="0.25">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3.8" x14ac:dyDescent="0.25">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3.8" x14ac:dyDescent="0.25">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3.8" x14ac:dyDescent="0.25">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3.8" x14ac:dyDescent="0.25">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3.8" x14ac:dyDescent="0.25">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3.8" x14ac:dyDescent="0.25">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3.8" x14ac:dyDescent="0.25">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3.8" x14ac:dyDescent="0.25">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3.8" x14ac:dyDescent="0.25">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3.8" x14ac:dyDescent="0.25">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3.8" x14ac:dyDescent="0.25">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3.8" x14ac:dyDescent="0.25">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3.8" x14ac:dyDescent="0.25">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3.8" x14ac:dyDescent="0.25">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3.8" x14ac:dyDescent="0.25">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3.8" x14ac:dyDescent="0.25">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3.8" x14ac:dyDescent="0.25">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3.8" x14ac:dyDescent="0.25">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3.8" x14ac:dyDescent="0.25">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3.8" x14ac:dyDescent="0.25">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3.8" x14ac:dyDescent="0.25">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3.8" x14ac:dyDescent="0.25">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3.8" x14ac:dyDescent="0.25">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3.8" x14ac:dyDescent="0.25">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3.8" x14ac:dyDescent="0.25">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3.8" x14ac:dyDescent="0.25">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3.8" x14ac:dyDescent="0.25">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3.8" x14ac:dyDescent="0.25">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3.8" x14ac:dyDescent="0.25">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3.8" x14ac:dyDescent="0.25">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3.8" x14ac:dyDescent="0.25">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3.8" x14ac:dyDescent="0.25">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3.8" x14ac:dyDescent="0.25">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3.8" x14ac:dyDescent="0.25">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3.8" x14ac:dyDescent="0.25">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3.8" x14ac:dyDescent="0.25">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3.8" x14ac:dyDescent="0.25">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3.8" x14ac:dyDescent="0.25">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3.8" x14ac:dyDescent="0.25">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3.8" x14ac:dyDescent="0.25">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3.8" x14ac:dyDescent="0.25">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3.8" x14ac:dyDescent="0.25">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3.8" x14ac:dyDescent="0.25">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3.8" x14ac:dyDescent="0.25">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3.8" x14ac:dyDescent="0.25">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3.8" x14ac:dyDescent="0.25">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3.8" x14ac:dyDescent="0.25">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3.8" x14ac:dyDescent="0.25">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3.8" x14ac:dyDescent="0.25">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3.8" x14ac:dyDescent="0.25">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3.8" x14ac:dyDescent="0.25">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3.8" x14ac:dyDescent="0.25">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3.8" x14ac:dyDescent="0.25">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3.8" x14ac:dyDescent="0.25">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3.8" x14ac:dyDescent="0.25">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3.8" x14ac:dyDescent="0.25">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3.8" x14ac:dyDescent="0.25">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3.8" x14ac:dyDescent="0.25">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3.8" x14ac:dyDescent="0.25">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3.8" x14ac:dyDescent="0.25">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3.8" x14ac:dyDescent="0.25">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3.8" x14ac:dyDescent="0.25">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3.8" x14ac:dyDescent="0.25">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3.8" x14ac:dyDescent="0.25">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3.8" x14ac:dyDescent="0.25">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3.8" x14ac:dyDescent="0.25">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3.8" x14ac:dyDescent="0.25">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3.8" x14ac:dyDescent="0.25">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3.8" x14ac:dyDescent="0.25">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3.8" x14ac:dyDescent="0.25">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3.8" x14ac:dyDescent="0.25">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3.8" x14ac:dyDescent="0.25">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3.8" x14ac:dyDescent="0.25">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3.8" x14ac:dyDescent="0.25">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3.8" x14ac:dyDescent="0.25">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3.8" x14ac:dyDescent="0.25">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3.8" x14ac:dyDescent="0.25">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3.8" x14ac:dyDescent="0.25">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3.8" x14ac:dyDescent="0.25">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3.8" x14ac:dyDescent="0.25">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3.8" x14ac:dyDescent="0.25">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3.8" x14ac:dyDescent="0.25">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3.8" x14ac:dyDescent="0.25">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3.8" x14ac:dyDescent="0.25">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3.8" x14ac:dyDescent="0.25">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3.8" x14ac:dyDescent="0.25">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3.8" x14ac:dyDescent="0.25">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3.8" x14ac:dyDescent="0.25">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3.8" x14ac:dyDescent="0.25">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3.8" x14ac:dyDescent="0.25">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3.8" x14ac:dyDescent="0.25">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3.8" x14ac:dyDescent="0.25">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3.8" x14ac:dyDescent="0.25">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3.8" x14ac:dyDescent="0.25">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3.8" x14ac:dyDescent="0.25">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3.8" x14ac:dyDescent="0.25">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3.8" x14ac:dyDescent="0.25">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3.8" x14ac:dyDescent="0.25">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3.8" x14ac:dyDescent="0.25">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3.8" x14ac:dyDescent="0.25">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3.8" x14ac:dyDescent="0.25">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3.8" x14ac:dyDescent="0.25">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4.4" thickBot="1" x14ac:dyDescent="0.3">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5" customHeight="1" thickBot="1" x14ac:dyDescent="0.3">
      <c r="B258" s="30"/>
      <c r="C258" s="34"/>
      <c r="D258" s="328"/>
      <c r="E258" s="421">
        <f>IF('Detailed Results'!K164&gt;0,"Error ▲",SUM(E10:E257))</f>
        <v>0</v>
      </c>
      <c r="F258" s="34"/>
      <c r="G258" s="34"/>
      <c r="H258" s="34"/>
      <c r="I258" s="34"/>
      <c r="J258" s="34"/>
      <c r="K258" s="34"/>
      <c r="L258" s="34"/>
      <c r="M258" s="34"/>
      <c r="N258" s="34"/>
      <c r="O258" s="34"/>
      <c r="P258" s="1512"/>
      <c r="Q258" s="1604"/>
      <c r="R258" s="421">
        <f>IF('Detailed Results'!K164&gt;0,"Error ▲",SUM(R10:R257))</f>
        <v>0</v>
      </c>
      <c r="S258" s="133"/>
      <c r="T258" s="609">
        <f>IF('Detailed Results'!K164&gt;0,"Error ▲",SUM(T10:T257))</f>
        <v>0</v>
      </c>
      <c r="U258" s="610">
        <f>IF('Detailed Results'!K164&gt;0,"Error ▲",SUM(U10:U257))</f>
        <v>0</v>
      </c>
      <c r="V258" s="610" cm="1">
        <f t="array" ref="V258">IF(OR(V10:V257="Error in Lengths ▲", V10:V257="Error", 'Detailed Results'!K164&gt;0), "Error ▲",SUM(V10:V257))</f>
        <v>0</v>
      </c>
      <c r="W258" s="610" cm="1">
        <f t="array" ref="W258">IF(OR(V10:V257="Error in Lengths ▲",W10:W257="Error", 'Detailed Results'!K164&gt;0),"Error ▲",SUM(W10:W257))</f>
        <v>0</v>
      </c>
      <c r="X258" s="610">
        <f>IF('Detailed Results'!K164&gt;0,"Error ▲", SUM(X10:X257))</f>
        <v>0</v>
      </c>
      <c r="Y258" s="610">
        <f>IFERROR(IF(E258="","",IF('Detailed Results'!K164&gt;0,"Error ▲", IF((V258+W258)&gt;R258,0,R258-V258-W258))),"Check Data ⚠")</f>
        <v>0</v>
      </c>
      <c r="Z258" s="563"/>
    </row>
    <row r="259" spans="2:44" ht="13.8" x14ac:dyDescent="0.25">
      <c r="B259" s="30"/>
      <c r="C259" s="30"/>
      <c r="S259" s="133"/>
      <c r="T259" s="133"/>
      <c r="U259" s="133"/>
      <c r="V259" s="133"/>
      <c r="W259" s="133"/>
      <c r="X259" s="133"/>
      <c r="Y259" s="133"/>
      <c r="Z259" s="133"/>
    </row>
    <row r="260" spans="2:44" ht="13.8" x14ac:dyDescent="0.25"/>
    <row r="261" spans="2:44" ht="13.8" x14ac:dyDescent="0.25"/>
    <row r="262" spans="2:44" ht="13.8" x14ac:dyDescent="0.25"/>
    <row r="263" spans="2:44" ht="13.8" x14ac:dyDescent="0.25"/>
    <row r="264" spans="2:44" ht="13.8" x14ac:dyDescent="0.25"/>
    <row r="265" spans="2:44" ht="13.8" x14ac:dyDescent="0.25"/>
    <row r="266" spans="2:44" ht="13.8" x14ac:dyDescent="0.25"/>
    <row r="267" spans="2:44" ht="13.8" x14ac:dyDescent="0.25"/>
    <row r="268" spans="2:44" ht="13.8" x14ac:dyDescent="0.25"/>
    <row r="269" spans="2:44" ht="13.8" x14ac:dyDescent="0.25"/>
    <row r="270" spans="2:44" ht="13.8" x14ac:dyDescent="0.25"/>
    <row r="271" spans="2:44" ht="13.8" x14ac:dyDescent="0.25"/>
    <row r="272" spans="2:44" ht="13.8" x14ac:dyDescent="0.25"/>
  </sheetData>
  <sheetProtection algorithmName="SHA-512" hashValue="K1FHhDTFpDVgNY45m565V1fXKbRUyepO6TYla/NRO3YF1QOhtQaKPI9aWI2l1CWtYY1Qw8B7Y5bIPsc3gWH6lA==" saltValue="mhAnhMPXWoskN4uAdk5sig=="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B2:D2"/>
    <mergeCell ref="B3:D4"/>
    <mergeCell ref="C8:E8"/>
    <mergeCell ref="F8:G8"/>
    <mergeCell ref="H8:I8"/>
    <mergeCell ref="F3:H3"/>
    <mergeCell ref="F4:H4"/>
    <mergeCell ref="I3:J3"/>
    <mergeCell ref="I4:J4"/>
    <mergeCell ref="F2:J2"/>
    <mergeCell ref="F5:H5"/>
    <mergeCell ref="I5:J5"/>
    <mergeCell ref="L2:R4"/>
    <mergeCell ref="T5:Y6"/>
    <mergeCell ref="P258:Q258"/>
    <mergeCell ref="AA8:AB8"/>
    <mergeCell ref="J8:L8"/>
    <mergeCell ref="M8:N8"/>
    <mergeCell ref="O8:P8"/>
    <mergeCell ref="Q8:Q9"/>
    <mergeCell ref="T8:Y8"/>
    <mergeCell ref="Z8:Z9"/>
  </mergeCells>
  <conditionalFormatting sqref="Q10:Q257">
    <cfRule type="containsText" dxfId="216" priority="26" operator="containsText" text="Bespoke">
      <formula>NOT(ISERROR(SEARCH("Bespoke",Q10)))</formula>
    </cfRule>
    <cfRule type="containsText" dxfId="215" priority="65" operator="containsText" text="Restore">
      <formula>NOT(ISERROR(SEARCH("Restore",Q10)))</formula>
    </cfRule>
  </conditionalFormatting>
  <conditionalFormatting sqref="K10:L257">
    <cfRule type="containsText" dxfId="214" priority="60" operator="containsText" text="Spatial">
      <formula>NOT(ISERROR(SEARCH("Spatial",K10)))</formula>
    </cfRule>
  </conditionalFormatting>
  <conditionalFormatting sqref="P10:P257">
    <cfRule type="containsText" dxfId="213" priority="59" operator="containsText" text="Spatial">
      <formula>NOT(ISERROR(SEARCH("Spatial",P10)))</formula>
    </cfRule>
  </conditionalFormatting>
  <conditionalFormatting sqref="X10:X257">
    <cfRule type="containsText" dxfId="212" priority="58" operator="containsText" text="Error">
      <formula>NOT(ISERROR(SEARCH("Error",X10)))</formula>
    </cfRule>
  </conditionalFormatting>
  <conditionalFormatting sqref="Y10:Z257">
    <cfRule type="containsText" dxfId="211" priority="56" operator="containsText" text="Check">
      <formula>NOT(ISERROR(SEARCH("Check",Y10)))</formula>
    </cfRule>
    <cfRule type="containsText" dxfId="210" priority="57" operator="containsText" text="Error">
      <formula>NOT(ISERROR(SEARCH("Error",Y10)))</formula>
    </cfRule>
  </conditionalFormatting>
  <conditionalFormatting sqref="T5:Z6">
    <cfRule type="containsText" dxfId="209" priority="47" operator="containsText" text="Check">
      <formula>NOT(ISERROR(SEARCH("Check",T5)))</formula>
    </cfRule>
  </conditionalFormatting>
  <conditionalFormatting sqref="I4">
    <cfRule type="containsText" dxfId="208" priority="32" operator="containsText" text="Error">
      <formula>NOT(ISERROR(SEARCH("Error",I4)))</formula>
    </cfRule>
    <cfRule type="containsText" dxfId="207" priority="33" operator="containsText" text="Check">
      <formula>NOT(ISERROR(SEARCH("Check",I4)))</formula>
    </cfRule>
  </conditionalFormatting>
  <conditionalFormatting sqref="I3">
    <cfRule type="containsText" dxfId="206" priority="45" operator="containsText" text="Error">
      <formula>NOT(ISERROR(SEARCH("Error",I3)))</formula>
    </cfRule>
    <cfRule type="containsText" dxfId="205" priority="46" operator="containsText" text="Check">
      <formula>NOT(ISERROR(SEARCH("Check",I3)))</formula>
    </cfRule>
  </conditionalFormatting>
  <conditionalFormatting sqref="L2:R4">
    <cfRule type="containsText" dxfId="204" priority="40" operator="containsText" text="Check">
      <formula>NOT(ISERROR(SEARCH("Check",L2)))</formula>
    </cfRule>
  </conditionalFormatting>
  <conditionalFormatting sqref="I5">
    <cfRule type="containsText" dxfId="203" priority="38" operator="containsText" text="No">
      <formula>NOT(ISERROR(SEARCH("No",I5)))</formula>
    </cfRule>
    <cfRule type="containsText" dxfId="202" priority="39" operator="containsText" text="Yes">
      <formula>NOT(ISERROR(SEARCH("Yes",I5)))</formula>
    </cfRule>
  </conditionalFormatting>
  <conditionalFormatting sqref="I10:I257">
    <cfRule type="containsText" dxfId="201" priority="37" operator="containsText" text="Not possible">
      <formula>NOT(ISERROR(SEARCH("Not possible",I10)))</formula>
    </cfRule>
  </conditionalFormatting>
  <conditionalFormatting sqref="V258:W258">
    <cfRule type="containsText" dxfId="200" priority="36" operator="containsText" text="Error">
      <formula>NOT(ISERROR(SEARCH("Error",V258)))</formula>
    </cfRule>
  </conditionalFormatting>
  <conditionalFormatting sqref="V10:V257">
    <cfRule type="containsText" dxfId="199" priority="35" operator="containsText" text="Error">
      <formula>NOT(ISERROR(SEARCH("Error",V10)))</formula>
    </cfRule>
  </conditionalFormatting>
  <conditionalFormatting sqref="I4:J4">
    <cfRule type="cellIs" dxfId="198" priority="31" operator="equal">
      <formula>0</formula>
    </cfRule>
    <cfRule type="cellIs" dxfId="197" priority="34" operator="lessThan">
      <formula>0</formula>
    </cfRule>
    <cfRule type="cellIs" dxfId="196" priority="42" operator="greaterThanOrEqual">
      <formula>0.1</formula>
    </cfRule>
  </conditionalFormatting>
  <conditionalFormatting sqref="Z1:Z1048576">
    <cfRule type="containsText" dxfId="195" priority="29" operator="containsText" text="Yes">
      <formula>NOT(ISERROR(SEARCH("Yes",Z1)))</formula>
    </cfRule>
    <cfRule type="containsText" dxfId="194" priority="30" operator="containsText" text="No">
      <formula>NOT(ISERROR(SEARCH("No",Z1)))</formula>
    </cfRule>
  </conditionalFormatting>
  <conditionalFormatting sqref="Y10:Y257">
    <cfRule type="containsText" dxfId="193" priority="27" operator="containsText" text="▲">
      <formula>NOT(ISERROR(SEARCH("▲",Y10)))</formula>
    </cfRule>
    <cfRule type="containsText" dxfId="192" priority="28" operator="containsText" text="✓">
      <formula>NOT(ISERROR(SEARCH("✓",Y10)))</formula>
    </cfRule>
  </conditionalFormatting>
  <conditionalFormatting sqref="R10:R257">
    <cfRule type="containsText" dxfId="191" priority="25" operator="containsText" text="⚠">
      <formula>NOT(ISERROR(SEARCH("⚠",R10)))</formula>
    </cfRule>
  </conditionalFormatting>
  <conditionalFormatting sqref="X10:X257">
    <cfRule type="containsText" dxfId="190" priority="24" operator="containsText" text="⚠">
      <formula>NOT(ISERROR(SEARCH("⚠",X10)))</formula>
    </cfRule>
  </conditionalFormatting>
  <conditionalFormatting sqref="T258:Y258">
    <cfRule type="containsText" dxfId="189" priority="23" operator="containsText" text="▲">
      <formula>NOT(ISERROR(SEARCH("▲",T258)))</formula>
    </cfRule>
  </conditionalFormatting>
  <conditionalFormatting sqref="R258">
    <cfRule type="containsText" dxfId="188" priority="22" operator="containsText" text="▲">
      <formula>NOT(ISERROR(SEARCH("▲",R258)))</formula>
    </cfRule>
  </conditionalFormatting>
  <conditionalFormatting sqref="E258">
    <cfRule type="containsText" dxfId="187" priority="21" operator="containsText" text="▲">
      <formula>NOT(ISERROR(SEARCH("▲",E258)))</formula>
    </cfRule>
  </conditionalFormatting>
  <conditionalFormatting sqref="AD10:AD257">
    <cfRule type="cellIs" dxfId="186" priority="17" operator="equal">
      <formula>""</formula>
    </cfRule>
    <cfRule type="cellIs" dxfId="185" priority="18" operator="equal">
      <formula>"None"</formula>
    </cfRule>
    <cfRule type="cellIs" dxfId="184" priority="20" operator="greaterThan">
      <formula>0</formula>
    </cfRule>
  </conditionalFormatting>
  <conditionalFormatting sqref="AE11">
    <cfRule type="cellIs" dxfId="183" priority="15" operator="equal">
      <formula>"None"</formula>
    </cfRule>
    <cfRule type="cellIs" dxfId="182" priority="16" operator="equal">
      <formula>""</formula>
    </cfRule>
    <cfRule type="cellIs" dxfId="181" priority="19" operator="greaterThan">
      <formula>0</formula>
    </cfRule>
  </conditionalFormatting>
  <conditionalFormatting sqref="AD10:AD257">
    <cfRule type="cellIs" dxfId="180" priority="11" operator="equal">
      <formula>""</formula>
    </cfRule>
    <cfRule type="cellIs" dxfId="179" priority="12" operator="equal">
      <formula>"None"</formula>
    </cfRule>
    <cfRule type="cellIs" dxfId="178" priority="14" operator="greaterThan">
      <formula>0</formula>
    </cfRule>
  </conditionalFormatting>
  <conditionalFormatting sqref="AE10:AE257">
    <cfRule type="cellIs" dxfId="177" priority="9" operator="equal">
      <formula>"None"</formula>
    </cfRule>
    <cfRule type="cellIs" dxfId="176" priority="10" operator="equal">
      <formula>""</formula>
    </cfRule>
    <cfRule type="cellIs" dxfId="175" priority="13" operator="greaterThan">
      <formula>0</formula>
    </cfRule>
  </conditionalFormatting>
  <conditionalFormatting sqref="AD10:AD257">
    <cfRule type="cellIs" dxfId="174" priority="5" operator="equal">
      <formula>""</formula>
    </cfRule>
    <cfRule type="cellIs" dxfId="173" priority="6" operator="equal">
      <formula>"None"</formula>
    </cfRule>
    <cfRule type="cellIs" dxfId="172" priority="8" operator="greaterThan">
      <formula>0</formula>
    </cfRule>
  </conditionalFormatting>
  <conditionalFormatting sqref="AE12:AE257">
    <cfRule type="cellIs" dxfId="171" priority="3" operator="equal">
      <formula>"None"</formula>
    </cfRule>
    <cfRule type="cellIs" dxfId="170" priority="4" operator="equal">
      <formula>""</formula>
    </cfRule>
    <cfRule type="cellIs" dxfId="169" priority="7" operator="greaterThan">
      <formula>0</formula>
    </cfRule>
  </conditionalFormatting>
  <conditionalFormatting sqref="AD10:AD257">
    <cfRule type="cellIs" dxfId="168" priority="2" operator="equal">
      <formula>0</formula>
    </cfRule>
  </conditionalFormatting>
  <conditionalFormatting sqref="I3:J5">
    <cfRule type="containsText" dxfId="167" priority="1" operator="containsText" text="N/A">
      <formula>NOT(ISERROR(SEARCH("N/A",I3)))</formula>
    </cfRule>
  </conditionalFormatting>
  <dataValidations count="4">
    <dataValidation type="list" allowBlank="1" showInputMessage="1" showErrorMessage="1" sqref="H10:H14" xr:uid="{00000000-0002-0000-1700-000000000000}">
      <formula1>INDIRECT(AQ10)</formula1>
    </dataValidation>
    <dataValidation type="list" allowBlank="1" showInputMessage="1" showErrorMessage="1" sqref="M10:M257" xr:uid="{52B43732-67F4-43E1-836B-58A40E91B558}">
      <formula1>IF(D10="Culvert",riparianencroachment2,riparianencroachment1)</formula1>
    </dataValidation>
    <dataValidation type="list" allowBlank="1" showInputMessage="1" showErrorMessage="1" sqref="Z10:Z257" xr:uid="{1C83826F-6F3B-4C35-93D3-3FA428A7CAE5}">
      <formula1>"Yes, No"</formula1>
    </dataValidation>
    <dataValidation type="list" allowBlank="1" showInputMessage="1" showErrorMessage="1" sqref="O10:O257" xr:uid="{7D324509-9B5C-44C8-8954-F6948F29EBF9}">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70"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1000000}">
          <x14:formula1>
            <xm:f>'G-7 WaterC'' Data'!$H$3:$L$3</xm:f>
          </x14:formula1>
          <xm:sqref>H15:H257</xm:sqref>
        </x14:dataValidation>
        <x14:dataValidation type="list" allowBlank="1" showInputMessage="1" showErrorMessage="1" xr:uid="{00000000-0002-0000-1700-000005000000}">
          <x14:formula1>
            <xm:f>'G-7 WaterC'' Data'!$B$4:$B$8</xm:f>
          </x14:formula1>
          <xm:sqref>D10:D257</xm:sqref>
        </x14:dataValidation>
        <x14:dataValidation type="list" allowBlank="1" showInputMessage="1" showErrorMessage="1" xr:uid="{02D8227C-D643-4A3D-B071-6D19ABEDB255}">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showGridLines="0" zoomScale="80" zoomScaleNormal="80" workbookViewId="0">
      <pane ySplit="11" topLeftCell="A12" activePane="bottomLeft" state="frozen"/>
      <selection pane="bottomLeft" activeCell="A2" sqref="A2"/>
    </sheetView>
  </sheetViews>
  <sheetFormatPr defaultColWidth="0" defaultRowHeight="0" customHeight="1" zeroHeight="1" x14ac:dyDescent="0.25"/>
  <cols>
    <col min="1" max="1" width="2.77734375" style="30" customWidth="1"/>
    <col min="2" max="2" width="10.77734375" style="30" customWidth="1"/>
    <col min="3" max="3" width="41" style="30" customWidth="1"/>
    <col min="4" max="4" width="10" style="30" customWidth="1"/>
    <col min="5" max="5" width="18.21875" style="30" customWidth="1"/>
    <col min="6" max="6" width="13.21875" style="30" customWidth="1"/>
    <col min="7" max="7" width="12.5546875" style="30" bestFit="1" customWidth="1"/>
    <col min="8" max="8" width="12.5546875" style="30" customWidth="1"/>
    <col min="9" max="9" width="33.77734375" style="30" customWidth="1"/>
    <col min="10" max="10" width="22.21875" style="30" customWidth="1"/>
    <col min="11" max="11" width="12.21875" style="30" customWidth="1"/>
    <col min="12" max="12" width="20.77734375" style="30" customWidth="1"/>
    <col min="13" max="14" width="17.77734375" style="30" customWidth="1"/>
    <col min="15" max="15" width="23.5546875" style="30" customWidth="1"/>
    <col min="16" max="16" width="20.44140625" style="30" customWidth="1"/>
    <col min="17" max="17" width="15.21875" style="30" customWidth="1"/>
    <col min="18" max="18" width="15" style="30" customWidth="1"/>
    <col min="19" max="19" width="21.77734375" style="30" customWidth="1"/>
    <col min="20" max="20" width="15.5546875" style="30" customWidth="1"/>
    <col min="21" max="21" width="13.77734375" style="30" customWidth="1"/>
    <col min="22" max="22" width="17.77734375" style="30" customWidth="1"/>
    <col min="23" max="23" width="13.21875" style="30" customWidth="1"/>
    <col min="24" max="24" width="21.21875" style="30" customWidth="1"/>
    <col min="25" max="25" width="13.21875" style="30" customWidth="1"/>
    <col min="26" max="26" width="17.21875" style="30" customWidth="1"/>
    <col min="27" max="28" width="34.77734375" style="30" customWidth="1"/>
    <col min="29" max="29" width="14.21875" style="30" customWidth="1"/>
    <col min="30" max="32" width="8.77734375" style="30" customWidth="1"/>
    <col min="33" max="33" width="8.77734375" style="30" hidden="1" customWidth="1"/>
    <col min="34" max="34" width="10.77734375" style="30" hidden="1" customWidth="1"/>
    <col min="35" max="16384" width="8.77734375" style="30" hidden="1"/>
  </cols>
  <sheetData>
    <row r="1" spans="2:34" ht="14.4" hidden="1" thickBot="1" x14ac:dyDescent="0.3"/>
    <row r="2" spans="2:34" ht="24.6" customHeight="1" thickBot="1" x14ac:dyDescent="0.35">
      <c r="B2" s="1601" t="str">
        <f>CONCATENATE("Project Name:", " ", Start!F12, "     ", "Map Reference:", " ", Start!K55)</f>
        <v xml:space="preserve">Project Name: Grove Farm Solar     Map Reference: </v>
      </c>
      <c r="C2" s="1605"/>
      <c r="D2" s="1605"/>
      <c r="E2" s="1602"/>
      <c r="J2" s="309"/>
      <c r="K2" s="309"/>
      <c r="V2" s="1484" t="str">
        <f>IF(OR(COUNTIF(L$12:$L260,"*30+*")&gt;0,COUNTIF(P$12:$P260,"*30+*")&gt;0),"Note; Habitat selected has a time to target condition greater than 30 years. Non standard agreement may be required. ⚠","")</f>
        <v/>
      </c>
      <c r="W2" s="1484"/>
      <c r="X2" s="1484"/>
      <c r="Y2" s="1484"/>
      <c r="Z2" s="1484"/>
      <c r="AA2" s="1484"/>
    </row>
    <row r="3" spans="2:34" ht="15.6" customHeight="1" thickBot="1" x14ac:dyDescent="0.35">
      <c r="B3" s="1611" t="str">
        <f ca="1">MID(CELL("filename",A1),FIND("]",CELL("filename",A1))+1,256)</f>
        <v>C-2 On-Site WaterC' Creation</v>
      </c>
      <c r="C3" s="1612"/>
      <c r="D3" s="1612"/>
      <c r="E3" s="1613"/>
      <c r="I3" s="1437" t="s">
        <v>404</v>
      </c>
      <c r="J3" s="1438"/>
      <c r="K3" s="1438"/>
      <c r="L3" s="1438"/>
      <c r="M3" s="1438"/>
      <c r="N3" s="1438"/>
      <c r="O3" s="1439"/>
      <c r="Q3" s="312"/>
      <c r="R3" s="312"/>
      <c r="S3" s="312"/>
      <c r="V3" s="1484"/>
      <c r="W3" s="1484"/>
      <c r="X3" s="1484"/>
      <c r="Y3" s="1484"/>
      <c r="Z3" s="1484"/>
      <c r="AA3" s="1484"/>
    </row>
    <row r="4" spans="2:34" ht="15" customHeight="1" thickBot="1" x14ac:dyDescent="0.3">
      <c r="B4" s="1611"/>
      <c r="C4" s="1612"/>
      <c r="D4" s="1612"/>
      <c r="E4" s="1613"/>
      <c r="I4" s="1488" t="s">
        <v>263</v>
      </c>
      <c r="J4" s="1489"/>
      <c r="K4" s="1489"/>
      <c r="L4" s="1489"/>
      <c r="M4" s="1508">
        <f>'Headline Results'!H49</f>
        <v>0</v>
      </c>
      <c r="N4" s="1508"/>
      <c r="O4" s="1509"/>
      <c r="Q4" s="312"/>
      <c r="R4" s="312"/>
      <c r="S4" s="312"/>
      <c r="V4" s="1484"/>
      <c r="W4" s="1484"/>
      <c r="X4" s="1484"/>
      <c r="Y4" s="1484"/>
      <c r="Z4" s="1484"/>
      <c r="AA4" s="1484"/>
    </row>
    <row r="5" spans="2:34" ht="26.55" customHeight="1" x14ac:dyDescent="0.25">
      <c r="I5" s="1583" t="s">
        <v>265</v>
      </c>
      <c r="J5" s="1584"/>
      <c r="K5" s="1584"/>
      <c r="L5" s="1584"/>
      <c r="M5" s="1554">
        <f>'Headline Results'!H53</f>
        <v>0</v>
      </c>
      <c r="N5" s="1554"/>
      <c r="O5" s="1555"/>
      <c r="Q5" s="312"/>
      <c r="R5" s="312"/>
      <c r="S5" s="312"/>
      <c r="V5" s="1610" t="str" cm="1">
        <f t="array" ref="V5">IF(OR(G12:G259 = "Fairly Good", G12:G259 = "Fairly Poor"),"A 'Fairly' Category has been used - check evidence to ensure this is appropriate ⚠", "")</f>
        <v/>
      </c>
      <c r="W5" s="1610"/>
      <c r="X5" s="1610"/>
      <c r="Y5" s="1610"/>
      <c r="Z5" s="1610"/>
    </row>
    <row r="6" spans="2:34" ht="23.25" customHeight="1" thickBot="1" x14ac:dyDescent="0.3">
      <c r="I6" s="1582" t="s">
        <v>267</v>
      </c>
      <c r="J6" s="1556"/>
      <c r="K6" s="1556"/>
      <c r="L6" s="1556"/>
      <c r="M6" s="1556" t="str" cm="1">
        <f t="array" ref="M6">IF(OR('Trading Summary WaterC''s'!G5:H8="No ▲"), "No - check trading summary ▲", "Yes ✓")</f>
        <v>Yes ✓</v>
      </c>
      <c r="N6" s="1556"/>
      <c r="O6" s="1557"/>
      <c r="P6" s="312"/>
      <c r="Q6" s="312"/>
      <c r="R6" s="312"/>
      <c r="S6" s="312"/>
      <c r="V6" s="1610"/>
      <c r="W6" s="1610"/>
      <c r="X6" s="1610"/>
      <c r="Y6" s="1610"/>
      <c r="Z6" s="1610"/>
    </row>
    <row r="7" spans="2:34" ht="6" customHeight="1" x14ac:dyDescent="0.25">
      <c r="L7" s="312"/>
      <c r="M7" s="312"/>
      <c r="N7" s="312"/>
      <c r="O7" s="312"/>
      <c r="P7" s="312"/>
    </row>
    <row r="8" spans="2:34" ht="6" customHeight="1" x14ac:dyDescent="0.25"/>
    <row r="9" spans="2:34" ht="15.75" customHeight="1" thickBot="1" x14ac:dyDescent="0.3"/>
    <row r="10" spans="2:34" s="33" customFormat="1" ht="29.25" customHeight="1" thickBot="1" x14ac:dyDescent="0.3">
      <c r="B10" s="200"/>
      <c r="C10" s="1542" t="s">
        <v>389</v>
      </c>
      <c r="D10" s="1542"/>
      <c r="E10" s="1542" t="s">
        <v>269</v>
      </c>
      <c r="F10" s="1542"/>
      <c r="G10" s="1542" t="s">
        <v>357</v>
      </c>
      <c r="H10" s="1542"/>
      <c r="I10" s="1542" t="s">
        <v>271</v>
      </c>
      <c r="J10" s="1542"/>
      <c r="K10" s="1542"/>
      <c r="L10" s="1561" t="s">
        <v>314</v>
      </c>
      <c r="M10" s="1562"/>
      <c r="N10" s="1562"/>
      <c r="O10" s="1562"/>
      <c r="P10" s="1562"/>
      <c r="Q10" s="1563"/>
      <c r="R10" s="1561" t="s">
        <v>315</v>
      </c>
      <c r="S10" s="1562"/>
      <c r="T10" s="1562"/>
      <c r="U10" s="1563"/>
      <c r="V10" s="1542" t="s">
        <v>406</v>
      </c>
      <c r="W10" s="1542"/>
      <c r="X10" s="1542" t="s">
        <v>407</v>
      </c>
      <c r="Y10" s="1542"/>
      <c r="Z10" s="1517" t="s">
        <v>418</v>
      </c>
      <c r="AA10" s="1310" t="s">
        <v>276</v>
      </c>
      <c r="AB10" s="1308"/>
    </row>
    <row r="11" spans="2:34" s="33" customFormat="1" ht="62.1" customHeight="1" thickBot="1" x14ac:dyDescent="0.3">
      <c r="B11" s="719" t="s">
        <v>339</v>
      </c>
      <c r="C11" s="132" t="s">
        <v>193</v>
      </c>
      <c r="D11" s="752" t="s">
        <v>34</v>
      </c>
      <c r="E11" s="132" t="s">
        <v>269</v>
      </c>
      <c r="F11" s="752" t="s">
        <v>286</v>
      </c>
      <c r="G11" s="132" t="s">
        <v>270</v>
      </c>
      <c r="H11" s="752" t="s">
        <v>286</v>
      </c>
      <c r="I11" s="132" t="s">
        <v>271</v>
      </c>
      <c r="J11" s="811" t="s">
        <v>271</v>
      </c>
      <c r="K11" s="752" t="s">
        <v>317</v>
      </c>
      <c r="L11" s="132" t="s">
        <v>392</v>
      </c>
      <c r="M11" s="811" t="s">
        <v>319</v>
      </c>
      <c r="N11" s="811" t="s">
        <v>320</v>
      </c>
      <c r="O11" s="811" t="s">
        <v>321</v>
      </c>
      <c r="P11" s="811" t="s">
        <v>322</v>
      </c>
      <c r="Q11" s="752" t="s">
        <v>397</v>
      </c>
      <c r="R11" s="132" t="s">
        <v>324</v>
      </c>
      <c r="S11" s="811" t="s">
        <v>419</v>
      </c>
      <c r="T11" s="811" t="s">
        <v>326</v>
      </c>
      <c r="U11" s="752" t="s">
        <v>327</v>
      </c>
      <c r="V11" s="126" t="s">
        <v>409</v>
      </c>
      <c r="W11" s="861" t="s">
        <v>410</v>
      </c>
      <c r="X11" s="126" t="s">
        <v>411</v>
      </c>
      <c r="Y11" s="861" t="s">
        <v>410</v>
      </c>
      <c r="Z11" s="1517"/>
      <c r="AA11" s="126" t="s">
        <v>295</v>
      </c>
      <c r="AB11" s="861" t="s">
        <v>296</v>
      </c>
      <c r="AC11" s="48" t="s">
        <v>297</v>
      </c>
      <c r="AH11" s="210" t="s">
        <v>280</v>
      </c>
    </row>
    <row r="12" spans="2:34" ht="13.8" x14ac:dyDescent="0.2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3.8" x14ac:dyDescent="0.2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3.8" x14ac:dyDescent="0.2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3.8" x14ac:dyDescent="0.2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3.8" x14ac:dyDescent="0.2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3.8" x14ac:dyDescent="0.2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3.8" x14ac:dyDescent="0.2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3.8" x14ac:dyDescent="0.2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3.8" x14ac:dyDescent="0.2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3.8" x14ac:dyDescent="0.2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3.8" x14ac:dyDescent="0.2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3.8" x14ac:dyDescent="0.2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3.8" x14ac:dyDescent="0.2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3.8" x14ac:dyDescent="0.2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3.8" x14ac:dyDescent="0.2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3.8" x14ac:dyDescent="0.2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3.8" x14ac:dyDescent="0.2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3.8" x14ac:dyDescent="0.2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3.8" x14ac:dyDescent="0.2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3.8" x14ac:dyDescent="0.2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3.8" x14ac:dyDescent="0.2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3.8" x14ac:dyDescent="0.2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3.8" x14ac:dyDescent="0.2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3.8" x14ac:dyDescent="0.2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3.8" x14ac:dyDescent="0.2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3.8" x14ac:dyDescent="0.2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3.8" x14ac:dyDescent="0.2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3.8" x14ac:dyDescent="0.2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3.8" x14ac:dyDescent="0.2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3.8" x14ac:dyDescent="0.2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3.8" x14ac:dyDescent="0.2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3.8" x14ac:dyDescent="0.2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3.8" x14ac:dyDescent="0.2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3.8" x14ac:dyDescent="0.2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3.8" x14ac:dyDescent="0.2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3.8" x14ac:dyDescent="0.2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3.8" x14ac:dyDescent="0.2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3.8" x14ac:dyDescent="0.2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3.8" x14ac:dyDescent="0.2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3.8" x14ac:dyDescent="0.2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3.8" x14ac:dyDescent="0.2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3.8" x14ac:dyDescent="0.2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3.8" x14ac:dyDescent="0.2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3.8" x14ac:dyDescent="0.2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3.8" x14ac:dyDescent="0.2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3.8" x14ac:dyDescent="0.2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3.8" x14ac:dyDescent="0.2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3.8" x14ac:dyDescent="0.2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3.8" x14ac:dyDescent="0.2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3.8" x14ac:dyDescent="0.2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3.8" x14ac:dyDescent="0.2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3.8" x14ac:dyDescent="0.2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3.8" x14ac:dyDescent="0.2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3.8" x14ac:dyDescent="0.2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3.8" x14ac:dyDescent="0.2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3.8" x14ac:dyDescent="0.2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3.8" x14ac:dyDescent="0.2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3.8" x14ac:dyDescent="0.2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3.8" x14ac:dyDescent="0.2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3.8" x14ac:dyDescent="0.2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3.8" x14ac:dyDescent="0.2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3.8" x14ac:dyDescent="0.2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3.8" x14ac:dyDescent="0.2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3.8" x14ac:dyDescent="0.2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3.8" x14ac:dyDescent="0.2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3.8" x14ac:dyDescent="0.2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3.8" x14ac:dyDescent="0.2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3.8" x14ac:dyDescent="0.2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3.8" x14ac:dyDescent="0.2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3.8" x14ac:dyDescent="0.2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3.8" x14ac:dyDescent="0.2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3.8" x14ac:dyDescent="0.2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3.8" x14ac:dyDescent="0.2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3.8" x14ac:dyDescent="0.2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3.8" x14ac:dyDescent="0.2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3.8" x14ac:dyDescent="0.2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3.8" x14ac:dyDescent="0.2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3.8" x14ac:dyDescent="0.2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3.8" x14ac:dyDescent="0.2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3.8" x14ac:dyDescent="0.2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3.8" x14ac:dyDescent="0.2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3.8" x14ac:dyDescent="0.2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3.8" x14ac:dyDescent="0.2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3.8" x14ac:dyDescent="0.2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3.8" x14ac:dyDescent="0.2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3.8" x14ac:dyDescent="0.2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3.8" x14ac:dyDescent="0.2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3.8" x14ac:dyDescent="0.2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3.8" x14ac:dyDescent="0.2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3.8" x14ac:dyDescent="0.2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3.8" x14ac:dyDescent="0.2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3.8" x14ac:dyDescent="0.2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3.8" x14ac:dyDescent="0.2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3.8" x14ac:dyDescent="0.2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3.8" x14ac:dyDescent="0.2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3.8" x14ac:dyDescent="0.2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3.8" x14ac:dyDescent="0.2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3.8" x14ac:dyDescent="0.2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3.8" x14ac:dyDescent="0.2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3.8" x14ac:dyDescent="0.2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3.8" x14ac:dyDescent="0.2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3.8" x14ac:dyDescent="0.2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3.8" x14ac:dyDescent="0.2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3.8" x14ac:dyDescent="0.2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3.8" x14ac:dyDescent="0.2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3.8" x14ac:dyDescent="0.2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3.8" x14ac:dyDescent="0.2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3.8" x14ac:dyDescent="0.2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3.8" x14ac:dyDescent="0.2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3.8" x14ac:dyDescent="0.2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3.8" x14ac:dyDescent="0.2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3.8" x14ac:dyDescent="0.2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3.8" x14ac:dyDescent="0.2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3.8" x14ac:dyDescent="0.2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3.8" x14ac:dyDescent="0.2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3.8" x14ac:dyDescent="0.2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3.8" x14ac:dyDescent="0.2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3.8" x14ac:dyDescent="0.2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3.8" x14ac:dyDescent="0.2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3.8" x14ac:dyDescent="0.2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3.8" x14ac:dyDescent="0.2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3.8" x14ac:dyDescent="0.2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3.8" x14ac:dyDescent="0.2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3.8" x14ac:dyDescent="0.2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3.8" x14ac:dyDescent="0.2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3.8" x14ac:dyDescent="0.2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3.8" x14ac:dyDescent="0.2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3.8" x14ac:dyDescent="0.2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3.8" x14ac:dyDescent="0.2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3.8" x14ac:dyDescent="0.2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3.8" x14ac:dyDescent="0.2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3.8" x14ac:dyDescent="0.2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3.8" x14ac:dyDescent="0.2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3.8" x14ac:dyDescent="0.2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3.8" x14ac:dyDescent="0.2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3.8" x14ac:dyDescent="0.2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3.8" x14ac:dyDescent="0.2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3.8" x14ac:dyDescent="0.2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3.8" x14ac:dyDescent="0.2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3.8" x14ac:dyDescent="0.2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3.8" x14ac:dyDescent="0.2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3.8" x14ac:dyDescent="0.2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3.8" x14ac:dyDescent="0.2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3.8" x14ac:dyDescent="0.2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3.8" x14ac:dyDescent="0.2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3.8" x14ac:dyDescent="0.2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3.8" x14ac:dyDescent="0.2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3.8" x14ac:dyDescent="0.2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3.8" x14ac:dyDescent="0.2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3.8" x14ac:dyDescent="0.2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3.8" x14ac:dyDescent="0.2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3.8" x14ac:dyDescent="0.2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3.8" x14ac:dyDescent="0.2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3.8" x14ac:dyDescent="0.2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3.8" x14ac:dyDescent="0.2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3.8" x14ac:dyDescent="0.2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3.8" x14ac:dyDescent="0.2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3.8" x14ac:dyDescent="0.2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3.8" x14ac:dyDescent="0.2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3.8" x14ac:dyDescent="0.2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3.8" x14ac:dyDescent="0.2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3.8" x14ac:dyDescent="0.2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3.8" x14ac:dyDescent="0.2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3.8" x14ac:dyDescent="0.2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3.8" x14ac:dyDescent="0.2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3.8" x14ac:dyDescent="0.2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3.8" x14ac:dyDescent="0.2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3.8" x14ac:dyDescent="0.2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3.8" x14ac:dyDescent="0.2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3.8" x14ac:dyDescent="0.2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3.8" x14ac:dyDescent="0.2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3.8" x14ac:dyDescent="0.2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3.8" x14ac:dyDescent="0.2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3.8" x14ac:dyDescent="0.2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3.8" x14ac:dyDescent="0.2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3.8" x14ac:dyDescent="0.2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3.8" x14ac:dyDescent="0.2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3.8" x14ac:dyDescent="0.2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3.8" x14ac:dyDescent="0.2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3.8" x14ac:dyDescent="0.2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3.8" x14ac:dyDescent="0.2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3.8" x14ac:dyDescent="0.2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3.8" x14ac:dyDescent="0.2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3.8" x14ac:dyDescent="0.2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3.8" x14ac:dyDescent="0.2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3.8" x14ac:dyDescent="0.2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3.8" x14ac:dyDescent="0.2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3.8" x14ac:dyDescent="0.2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3.8" x14ac:dyDescent="0.2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3.8" x14ac:dyDescent="0.2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3.8" x14ac:dyDescent="0.2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3.8" x14ac:dyDescent="0.2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3.8" x14ac:dyDescent="0.2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3.8" x14ac:dyDescent="0.2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3.8" x14ac:dyDescent="0.2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3.8" x14ac:dyDescent="0.2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3.8" x14ac:dyDescent="0.2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3.8" x14ac:dyDescent="0.2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3.8" x14ac:dyDescent="0.2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3.8" x14ac:dyDescent="0.2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3.8" x14ac:dyDescent="0.2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3.8" x14ac:dyDescent="0.2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3.8" x14ac:dyDescent="0.2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3.8" x14ac:dyDescent="0.2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3.8" x14ac:dyDescent="0.2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3.8" x14ac:dyDescent="0.2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3.8" x14ac:dyDescent="0.2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3.8" x14ac:dyDescent="0.2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3.8" x14ac:dyDescent="0.2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3.8" x14ac:dyDescent="0.2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3.8" x14ac:dyDescent="0.2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3.8" x14ac:dyDescent="0.2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3.8" x14ac:dyDescent="0.2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3.8" x14ac:dyDescent="0.2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3.8" x14ac:dyDescent="0.2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3.8" x14ac:dyDescent="0.2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3.8" x14ac:dyDescent="0.2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3.8" x14ac:dyDescent="0.2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3.8" x14ac:dyDescent="0.2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3.8" x14ac:dyDescent="0.2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3.8" x14ac:dyDescent="0.2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3.8" x14ac:dyDescent="0.2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3.8" x14ac:dyDescent="0.2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3.8" x14ac:dyDescent="0.2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3.8" x14ac:dyDescent="0.2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3.8" x14ac:dyDescent="0.2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3.8" x14ac:dyDescent="0.2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3.8" x14ac:dyDescent="0.2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3.8" x14ac:dyDescent="0.2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3.8" x14ac:dyDescent="0.2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3.8" x14ac:dyDescent="0.2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3.8" x14ac:dyDescent="0.2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3.8" x14ac:dyDescent="0.2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3.8" x14ac:dyDescent="0.2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3.8" x14ac:dyDescent="0.2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3.8" x14ac:dyDescent="0.2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3.8" x14ac:dyDescent="0.2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3.8" x14ac:dyDescent="0.2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3.8" x14ac:dyDescent="0.2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3.8" x14ac:dyDescent="0.2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3.8" x14ac:dyDescent="0.2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3.8" x14ac:dyDescent="0.2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3.8" x14ac:dyDescent="0.2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3.8" x14ac:dyDescent="0.2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3.8" x14ac:dyDescent="0.2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3.8" x14ac:dyDescent="0.2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3.8" x14ac:dyDescent="0.2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4.4" thickBot="1" x14ac:dyDescent="0.3">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4.4" thickBot="1" x14ac:dyDescent="0.3">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12"/>
      <c r="Y260" s="1512"/>
      <c r="Z260" s="366">
        <f>SUM(Z12:Z259)</f>
        <v>0</v>
      </c>
      <c r="AA260" s="34"/>
      <c r="AB260" s="34"/>
    </row>
    <row r="261" spans="2:34" ht="28.95" customHeight="1" x14ac:dyDescent="0.25"/>
    <row r="262" spans="2:34" ht="27" customHeight="1" x14ac:dyDescent="0.25"/>
    <row r="263" spans="2:34" ht="13.8" hidden="1" x14ac:dyDescent="0.25"/>
    <row r="264" spans="2:34" ht="13.8" hidden="1" x14ac:dyDescent="0.25"/>
    <row r="265" spans="2:34" ht="13.8" hidden="1" x14ac:dyDescent="0.25"/>
    <row r="266" spans="2:34" ht="13.8" hidden="1" x14ac:dyDescent="0.25"/>
    <row r="267" spans="2:34" ht="13.8" hidden="1" x14ac:dyDescent="0.25"/>
    <row r="268" spans="2:34" ht="13.8" hidden="1" x14ac:dyDescent="0.25"/>
  </sheetData>
  <sheetProtection algorithmName="SHA-512" hashValue="u0Q/HH8lCm6Z3YdE0Vmj5BsZSVxM5HqdjFwpNSTvaksHQRG4++GXLUtYhXbjcC6K5Tv0kG9wRnpSCLrvbjSVJw==" saltValue="F01YVU2rL7WUXAmDVopCQ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X260:Y260"/>
    <mergeCell ref="I6:L6"/>
    <mergeCell ref="M6:O6"/>
    <mergeCell ref="B2:E2"/>
    <mergeCell ref="B3:E4"/>
    <mergeCell ref="I10:K10"/>
    <mergeCell ref="C10:D10"/>
    <mergeCell ref="E10:F10"/>
    <mergeCell ref="G10:H10"/>
    <mergeCell ref="I4:L4"/>
    <mergeCell ref="I5:L5"/>
    <mergeCell ref="AA10:AB10"/>
    <mergeCell ref="L10:Q10"/>
    <mergeCell ref="M5:O5"/>
    <mergeCell ref="I3:O3"/>
    <mergeCell ref="M4:O4"/>
    <mergeCell ref="V2:AA4"/>
    <mergeCell ref="V5:Z6"/>
    <mergeCell ref="V10:W10"/>
    <mergeCell ref="X10:Y10"/>
    <mergeCell ref="Z10:Z11"/>
    <mergeCell ref="R10:U10"/>
  </mergeCells>
  <conditionalFormatting sqref="Z12:Z259">
    <cfRule type="containsText" dxfId="165" priority="29" operator="containsText" text="Existing Value Not Required">
      <formula>NOT(ISERROR(SEARCH("Existing Value Not Required",Z12)))</formula>
    </cfRule>
    <cfRule type="containsText" dxfId="164" priority="30" operator="containsText" text="Existing Value Required">
      <formula>NOT(ISERROR(SEARCH("Existing Value Required",Z12)))</formula>
    </cfRule>
  </conditionalFormatting>
  <conditionalFormatting sqref="J12:K259">
    <cfRule type="containsText" dxfId="163" priority="28" operator="containsText" text="Spatial">
      <formula>NOT(ISERROR(SEARCH("Spatial",J12)))</formula>
    </cfRule>
  </conditionalFormatting>
  <conditionalFormatting sqref="O12:Q259">
    <cfRule type="cellIs" dxfId="162" priority="16" operator="equal">
      <formula>"30+ ⚠"</formula>
    </cfRule>
    <cfRule type="containsText" dxfId="161" priority="26" operator="containsText" text="Check">
      <formula>NOT(ISERROR(SEARCH("Check",O12)))</formula>
    </cfRule>
    <cfRule type="containsText" dxfId="160" priority="27" operator="containsText" text="Error">
      <formula>NOT(ISERROR(SEARCH("Error",O12)))</formula>
    </cfRule>
  </conditionalFormatting>
  <conditionalFormatting sqref="S12:Z259">
    <cfRule type="containsText" dxfId="159" priority="22" operator="containsText" text="Error">
      <formula>NOT(ISERROR(SEARCH("Error",S12)))</formula>
    </cfRule>
    <cfRule type="containsText" dxfId="158" priority="23" operator="containsText" text="Check">
      <formula>NOT(ISERROR(SEARCH("Check",S12)))</formula>
    </cfRule>
  </conditionalFormatting>
  <conditionalFormatting sqref="S12:S259">
    <cfRule type="beginsWith" dxfId="157" priority="21" operator="beginsWith" text="No - Low Difficulty">
      <formula>LEFT(S12,LEN("No - Low Difficulty"))="No - Low Difficulty"</formula>
    </cfRule>
  </conditionalFormatting>
  <conditionalFormatting sqref="W12:W259">
    <cfRule type="containsText" dxfId="156" priority="20" operator="containsText" text="Spatial">
      <formula>NOT(ISERROR(SEARCH("Spatial",W12)))</formula>
    </cfRule>
  </conditionalFormatting>
  <conditionalFormatting sqref="Y12:Y259">
    <cfRule type="containsText" dxfId="155" priority="19" operator="containsText" text="Missing">
      <formula>NOT(ISERROR(SEARCH("Missing",Y12)))</formula>
    </cfRule>
  </conditionalFormatting>
  <conditionalFormatting sqref="H12:H259">
    <cfRule type="beginsWith" dxfId="154" priority="18" operator="beginsWith" text="Not Possible">
      <formula>LEFT(H12,LEN("Not Possible"))="Not Possible"</formula>
    </cfRule>
  </conditionalFormatting>
  <conditionalFormatting sqref="L7:P7 V2">
    <cfRule type="containsText" dxfId="153" priority="17" operator="containsText" text="Note">
      <formula>NOT(ISERROR(SEARCH("Note",L2)))</formula>
    </cfRule>
  </conditionalFormatting>
  <conditionalFormatting sqref="M4">
    <cfRule type="containsText" dxfId="152" priority="14" operator="containsText" text="Error">
      <formula>NOT(ISERROR(SEARCH("Error",M4)))</formula>
    </cfRule>
    <cfRule type="containsText" dxfId="151" priority="15" operator="containsText" text="Check">
      <formula>NOT(ISERROR(SEARCH("Check",M4)))</formula>
    </cfRule>
  </conditionalFormatting>
  <conditionalFormatting sqref="M5">
    <cfRule type="containsText" dxfId="150" priority="3" operator="containsText" text="Error">
      <formula>NOT(ISERROR(SEARCH("Error",M5)))</formula>
    </cfRule>
    <cfRule type="containsText" dxfId="149" priority="4" operator="containsText" text="Check">
      <formula>NOT(ISERROR(SEARCH("Check",M5)))</formula>
    </cfRule>
  </conditionalFormatting>
  <conditionalFormatting sqref="V2 V5">
    <cfRule type="containsText" dxfId="148" priority="9" operator="containsText" text="Error">
      <formula>NOT(ISERROR(SEARCH("Error",V2)))</formula>
    </cfRule>
  </conditionalFormatting>
  <conditionalFormatting sqref="V5:Z6">
    <cfRule type="containsText" dxfId="147" priority="8" operator="containsText" text="Check">
      <formula>NOT(ISERROR(SEARCH("Check",V5)))</formula>
    </cfRule>
  </conditionalFormatting>
  <conditionalFormatting sqref="M6">
    <cfRule type="containsText" dxfId="146" priority="6" operator="containsText" text="No">
      <formula>NOT(ISERROR(SEARCH("No",M6)))</formula>
    </cfRule>
    <cfRule type="containsText" dxfId="145" priority="7" operator="containsText" text="Yes">
      <formula>NOT(ISERROR(SEARCH("Yes",M6)))</formula>
    </cfRule>
  </conditionalFormatting>
  <conditionalFormatting sqref="M5:O5">
    <cfRule type="cellIs" dxfId="144" priority="2" operator="equal">
      <formula>0</formula>
    </cfRule>
    <cfRule type="cellIs" dxfId="143" priority="5" operator="lessThan">
      <formula>0</formula>
    </cfRule>
  </conditionalFormatting>
  <conditionalFormatting sqref="M4:O6">
    <cfRule type="containsText" dxfId="142" priority="1" operator="containsText" text="N/A">
      <formula>NOT(ISERROR(SEARCH("N/A",M4)))</formula>
    </cfRule>
  </conditionalFormatting>
  <dataValidations count="3">
    <dataValidation type="list" allowBlank="1" showInputMessage="1" showErrorMessage="1" sqref="G12:G259" xr:uid="{00000000-0002-0000-1900-000000000000}">
      <formula1>INDIRECT(AH12)</formula1>
    </dataValidation>
    <dataValidation type="list" allowBlank="1" showInputMessage="1" showErrorMessage="1" sqref="V12:V259" xr:uid="{E5ED14EB-7AAD-4CCC-8D4C-187B077F5FF3}">
      <formula1>IF(C12="Culvert",riparianencroachment2,riparianencroachment1)</formula1>
    </dataValidation>
    <dataValidation type="list" allowBlank="1" showInputMessage="1" showErrorMessage="1" sqref="X12:X259" xr:uid="{715F5744-C7FB-45AD-BCC9-047294F1BEFE}">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6" operator="lessThan" id="{84BACA77-6ED3-4402-B70B-8E87E52B228F}">
            <xm:f>Start!$F$22</xm:f>
            <x14:dxf>
              <font>
                <color rgb="FF383745"/>
              </font>
              <fill>
                <patternFill>
                  <bgColor rgb="FFFFC000"/>
                </patternFill>
              </fill>
            </x14:dxf>
          </x14:cfRule>
          <x14:cfRule type="cellIs" priority="447"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4000000}">
          <x14:formula1>
            <xm:f>'G-7 WaterC'' Data'!$B$4:$B$8</xm:f>
          </x14:formula1>
          <xm:sqref>C12:C259</xm:sqref>
        </x14:dataValidation>
        <x14:dataValidation type="list" allowBlank="1" showInputMessage="1" showErrorMessage="1" xr:uid="{25777F3A-E1C1-4658-AE53-D4B933CB57A5}">
          <x14:formula1>
            <xm:f>IF(C12="Culvert",'G-7 WaterC'' Data'!$AK$6,'G-7 WaterC'' Data'!$AK$4:$AK$6)</xm:f>
          </x14:formula1>
          <xm:sqref>I12:I259</xm:sqref>
        </x14:dataValidation>
        <x14:dataValidation type="list" allowBlank="1" showInputMessage="1" showErrorMessage="1" xr:uid="{00000000-0002-0000-1900-000006000000}">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x14ac:dyDescent="0.25"/>
  <cols>
    <col min="1" max="1" width="2.77734375" style="30" customWidth="1"/>
    <col min="2" max="2" width="14.21875" style="30" customWidth="1"/>
    <col min="3" max="3" width="41.21875" style="30" customWidth="1"/>
    <col min="4" max="4" width="9" style="30" customWidth="1"/>
    <col min="5" max="5" width="18.77734375" style="30" customWidth="1"/>
    <col min="6" max="7" width="18.21875" style="30" customWidth="1"/>
    <col min="8" max="8" width="19.21875" style="30" customWidth="1"/>
    <col min="9" max="9" width="25.77734375" style="30" customWidth="1"/>
    <col min="10" max="13" width="19.21875" style="30" customWidth="1"/>
    <col min="14" max="14" width="45.77734375" style="30" customWidth="1"/>
    <col min="15" max="15" width="34.21875" style="30" customWidth="1"/>
    <col min="16" max="16" width="46.77734375" style="30" customWidth="1"/>
    <col min="17" max="17" width="10" style="30" customWidth="1"/>
    <col min="18" max="18" width="19.44140625" style="30" customWidth="1"/>
    <col min="19" max="19" width="13.21875" style="30" customWidth="1"/>
    <col min="20" max="20" width="12.5546875" style="30" bestFit="1" customWidth="1"/>
    <col min="21" max="21" width="12.5546875" style="30" customWidth="1"/>
    <col min="22" max="22" width="33.77734375" style="30" customWidth="1"/>
    <col min="23" max="23" width="15.44140625" style="30" customWidth="1"/>
    <col min="24" max="24" width="12.21875" style="30" customWidth="1"/>
    <col min="25" max="25" width="18.44140625" style="30" customWidth="1"/>
    <col min="26" max="26" width="21" style="30" customWidth="1"/>
    <col min="27" max="27" width="24.44140625" style="30" customWidth="1"/>
    <col min="28" max="28" width="34.44140625" style="30" customWidth="1"/>
    <col min="29" max="29" width="18.44140625" style="30" customWidth="1"/>
    <col min="30" max="30" width="15.21875" style="30" customWidth="1"/>
    <col min="31" max="31" width="16.5546875" style="30" customWidth="1"/>
    <col min="32" max="32" width="28.21875" style="30" customWidth="1"/>
    <col min="33" max="33" width="16.21875" style="30" customWidth="1"/>
    <col min="34" max="34" width="15.21875" style="30" customWidth="1"/>
    <col min="35" max="35" width="17.5546875" style="30" customWidth="1"/>
    <col min="36" max="36" width="15.21875" style="30" customWidth="1"/>
    <col min="37" max="37" width="19.5546875" style="30" customWidth="1"/>
    <col min="38" max="38" width="12.77734375" style="30" customWidth="1"/>
    <col min="39" max="39" width="15.21875" style="30" customWidth="1"/>
    <col min="40" max="41" width="34.77734375" style="30" customWidth="1"/>
    <col min="42" max="42" width="14.21875" style="30" customWidth="1"/>
    <col min="43" max="47" width="8.77734375" style="30" customWidth="1"/>
    <col min="48" max="48" width="10.77734375" style="30" hidden="1" customWidth="1"/>
    <col min="49" max="56" width="0" style="30" hidden="1" customWidth="1"/>
    <col min="57" max="16384" width="8.77734375" style="30" hidden="1"/>
  </cols>
  <sheetData>
    <row r="1" spans="2:48" ht="20.55" customHeight="1" thickBot="1" x14ac:dyDescent="0.3"/>
    <row r="2" spans="2:48" ht="27" customHeight="1" thickBot="1" x14ac:dyDescent="0.3">
      <c r="B2" s="1567" t="str">
        <f>CONCATENATE("Project Name:", " ", Start!F12, "     ", "Map Reference:", " ", Start!K55)</f>
        <v xml:space="preserve">Project Name: Grove Farm Solar     Map Reference: </v>
      </c>
      <c r="C2" s="1568"/>
      <c r="D2" s="1568"/>
      <c r="E2" s="1569"/>
      <c r="O2" s="1596" t="s">
        <v>404</v>
      </c>
      <c r="P2" s="1597"/>
      <c r="Q2" s="510"/>
      <c r="R2" s="102"/>
      <c r="S2" s="1527" t="str" cm="1">
        <f t="array" ref="S2">IF(OR(T12:T257 = "Fairly Good", T12:T257 = "Fairly Poor"),"A 'Fairly' Category has been used - check evidence to ensure this is appropriate ⚠", "")</f>
        <v/>
      </c>
      <c r="T2" s="1527"/>
      <c r="U2" s="1527"/>
      <c r="V2" s="1527"/>
      <c r="W2" s="1527"/>
      <c r="X2" s="1527"/>
      <c r="Y2" s="1484" t="str">
        <f>IF(OR(COUNTIF($Y$12:Y259,"*30+*")&gt;0,COUNTIF($AC$12:AC259,"*30+*")&gt;0),"Note; Habitat selected has a time to target condition greater than 30 years. Non standard agreement may be required. ⚠","")</f>
        <v/>
      </c>
      <c r="Z2" s="1484"/>
      <c r="AA2" s="1484"/>
      <c r="AB2" s="1484"/>
      <c r="AC2" s="1484"/>
      <c r="AD2" s="1484"/>
    </row>
    <row r="3" spans="2:48" ht="18" customHeight="1" thickBot="1" x14ac:dyDescent="0.3">
      <c r="B3" s="1611" t="str">
        <f ca="1">MID(CELL("filename",A1),FIND("]",CELL("filename",A1))+1,256)</f>
        <v>C-3 On-Site WaterC' Enhancement</v>
      </c>
      <c r="C3" s="1612"/>
      <c r="D3" s="1612"/>
      <c r="E3" s="1613"/>
      <c r="O3" s="535" t="s">
        <v>263</v>
      </c>
      <c r="P3" s="512">
        <f>'Headline Results'!H49</f>
        <v>0</v>
      </c>
      <c r="Q3" s="509"/>
      <c r="S3" s="1527"/>
      <c r="T3" s="1527"/>
      <c r="U3" s="1527"/>
      <c r="V3" s="1527"/>
      <c r="W3" s="1527"/>
      <c r="X3" s="1527"/>
      <c r="Y3" s="1484"/>
      <c r="Z3" s="1484"/>
      <c r="AA3" s="1484"/>
      <c r="AB3" s="1484"/>
      <c r="AC3" s="1484"/>
      <c r="AD3" s="1484"/>
    </row>
    <row r="4" spans="2:48" ht="21" customHeight="1" thickBot="1" x14ac:dyDescent="0.3">
      <c r="B4" s="1611"/>
      <c r="C4" s="1612"/>
      <c r="D4" s="1612"/>
      <c r="E4" s="1613"/>
      <c r="O4" s="506" t="s">
        <v>265</v>
      </c>
      <c r="P4" s="581">
        <f>'Headline Results'!H53</f>
        <v>0</v>
      </c>
      <c r="Q4" s="509"/>
      <c r="S4" s="1527"/>
      <c r="T4" s="1527"/>
      <c r="U4" s="1527"/>
      <c r="V4" s="1527"/>
      <c r="W4" s="1527"/>
      <c r="X4" s="1527"/>
      <c r="Y4" s="1484"/>
      <c r="Z4" s="1484"/>
      <c r="AA4" s="1484"/>
      <c r="AB4" s="1484"/>
      <c r="AC4" s="1484"/>
      <c r="AD4" s="1484"/>
    </row>
    <row r="5" spans="2:48" ht="15.6" customHeight="1" thickBot="1" x14ac:dyDescent="0.35">
      <c r="O5" s="536" t="s">
        <v>267</v>
      </c>
      <c r="P5" s="504" t="str" cm="1">
        <f t="array" ref="P5">IF(OR('Trading Summary WaterC''s'!G5:H8="No ▲"), "No - check trading summary ▲", "Yes ✓")</f>
        <v>Yes ✓</v>
      </c>
      <c r="Q5" s="509"/>
      <c r="R5" s="509"/>
      <c r="AH5" s="158"/>
      <c r="AI5" s="158"/>
      <c r="AJ5" s="158"/>
      <c r="AK5" s="158"/>
      <c r="AL5" s="158"/>
    </row>
    <row r="6" spans="2:48" ht="16.2" customHeight="1" x14ac:dyDescent="0.25">
      <c r="F6" s="101"/>
    </row>
    <row r="7" spans="2:48" ht="13.8" x14ac:dyDescent="0.25"/>
    <row r="8" spans="2:48" ht="14.4" thickBot="1" x14ac:dyDescent="0.3"/>
    <row r="9" spans="2:48" ht="14.4" thickBot="1" x14ac:dyDescent="0.3">
      <c r="C9" s="101"/>
      <c r="D9" s="101"/>
      <c r="E9" s="101"/>
      <c r="F9" s="101"/>
      <c r="G9" s="101"/>
      <c r="H9" s="101"/>
      <c r="I9" s="101"/>
      <c r="J9" s="101"/>
      <c r="K9" s="101"/>
      <c r="L9" s="101"/>
      <c r="M9" s="101"/>
      <c r="N9" s="1548" t="s">
        <v>311</v>
      </c>
      <c r="O9" s="1549"/>
      <c r="P9" s="1549"/>
      <c r="Q9" s="1549"/>
      <c r="R9" s="1549"/>
      <c r="S9" s="1549"/>
      <c r="T9" s="1549"/>
      <c r="U9" s="1549"/>
      <c r="V9" s="1549"/>
      <c r="W9" s="1549"/>
      <c r="X9" s="1549"/>
      <c r="Y9" s="1549"/>
      <c r="Z9" s="1549"/>
      <c r="AA9" s="1549"/>
      <c r="AB9" s="1549"/>
      <c r="AC9" s="1549"/>
      <c r="AD9" s="1549"/>
      <c r="AE9" s="1549"/>
      <c r="AF9" s="1549"/>
      <c r="AG9" s="1549"/>
      <c r="AH9" s="1549"/>
      <c r="AI9" s="1549"/>
      <c r="AJ9" s="1549"/>
      <c r="AK9" s="1549"/>
      <c r="AL9" s="1550"/>
      <c r="AM9" s="332"/>
    </row>
    <row r="10" spans="2:48" s="33" customFormat="1" ht="27" customHeight="1" thickBot="1" x14ac:dyDescent="0.3">
      <c r="C10" s="1517" t="s">
        <v>332</v>
      </c>
      <c r="D10" s="1517"/>
      <c r="E10" s="1517"/>
      <c r="F10" s="1517"/>
      <c r="G10" s="1517"/>
      <c r="H10" s="1517"/>
      <c r="I10" s="1517"/>
      <c r="J10" s="1517"/>
      <c r="K10" s="1517"/>
      <c r="L10" s="1517"/>
      <c r="M10" s="1517"/>
      <c r="N10" s="1561" t="s">
        <v>420</v>
      </c>
      <c r="O10" s="1588" t="s">
        <v>334</v>
      </c>
      <c r="P10" s="1588"/>
      <c r="Q10" s="1542" t="s">
        <v>34</v>
      </c>
      <c r="R10" s="1542" t="s">
        <v>421</v>
      </c>
      <c r="S10" s="1542"/>
      <c r="T10" s="1542" t="s">
        <v>422</v>
      </c>
      <c r="U10" s="1542"/>
      <c r="V10" s="1561" t="s">
        <v>271</v>
      </c>
      <c r="W10" s="1562"/>
      <c r="X10" s="1563"/>
      <c r="Y10" s="1561" t="s">
        <v>314</v>
      </c>
      <c r="Z10" s="1562"/>
      <c r="AA10" s="1562"/>
      <c r="AB10" s="1562"/>
      <c r="AC10" s="1562"/>
      <c r="AD10" s="1563"/>
      <c r="AE10" s="1561" t="s">
        <v>315</v>
      </c>
      <c r="AF10" s="1562"/>
      <c r="AG10" s="1562"/>
      <c r="AH10" s="1563"/>
      <c r="AI10" s="1542" t="s">
        <v>406</v>
      </c>
      <c r="AJ10" s="1542"/>
      <c r="AK10" s="1561" t="s">
        <v>407</v>
      </c>
      <c r="AL10" s="1563"/>
      <c r="AM10" s="1542" t="s">
        <v>418</v>
      </c>
      <c r="AN10" s="1310" t="s">
        <v>276</v>
      </c>
      <c r="AO10" s="1308"/>
    </row>
    <row r="11" spans="2:48" ht="62.25" customHeight="1" thickBot="1" x14ac:dyDescent="0.3">
      <c r="B11" s="719" t="s">
        <v>339</v>
      </c>
      <c r="C11" s="140" t="s">
        <v>340</v>
      </c>
      <c r="D11" s="145" t="s">
        <v>34</v>
      </c>
      <c r="E11" s="145" t="s">
        <v>342</v>
      </c>
      <c r="F11" s="145" t="s">
        <v>343</v>
      </c>
      <c r="G11" s="145" t="s">
        <v>344</v>
      </c>
      <c r="H11" s="145" t="s">
        <v>345</v>
      </c>
      <c r="I11" s="145" t="s">
        <v>346</v>
      </c>
      <c r="J11" s="145" t="s">
        <v>271</v>
      </c>
      <c r="K11" s="145" t="s">
        <v>423</v>
      </c>
      <c r="L11" s="145" t="s">
        <v>272</v>
      </c>
      <c r="M11" s="144" t="s">
        <v>424</v>
      </c>
      <c r="N11" s="1614"/>
      <c r="O11" s="126" t="s">
        <v>395</v>
      </c>
      <c r="P11" s="861" t="s">
        <v>396</v>
      </c>
      <c r="Q11" s="1592"/>
      <c r="R11" s="126" t="s">
        <v>269</v>
      </c>
      <c r="S11" s="861" t="s">
        <v>286</v>
      </c>
      <c r="T11" s="126" t="s">
        <v>270</v>
      </c>
      <c r="U11" s="861" t="s">
        <v>286</v>
      </c>
      <c r="V11" s="126" t="s">
        <v>271</v>
      </c>
      <c r="W11" s="874" t="s">
        <v>271</v>
      </c>
      <c r="X11" s="861" t="s">
        <v>317</v>
      </c>
      <c r="Y11" s="126" t="s">
        <v>392</v>
      </c>
      <c r="Z11" s="874" t="s">
        <v>377</v>
      </c>
      <c r="AA11" s="874" t="s">
        <v>354</v>
      </c>
      <c r="AB11" s="874" t="s">
        <v>321</v>
      </c>
      <c r="AC11" s="874" t="s">
        <v>322</v>
      </c>
      <c r="AD11" s="861" t="s">
        <v>397</v>
      </c>
      <c r="AE11" s="126" t="s">
        <v>398</v>
      </c>
      <c r="AF11" s="874" t="s">
        <v>1679</v>
      </c>
      <c r="AG11" s="874" t="s">
        <v>356</v>
      </c>
      <c r="AH11" s="861" t="s">
        <v>327</v>
      </c>
      <c r="AI11" s="126" t="s">
        <v>409</v>
      </c>
      <c r="AJ11" s="861" t="s">
        <v>410</v>
      </c>
      <c r="AK11" s="126" t="s">
        <v>411</v>
      </c>
      <c r="AL11" s="861" t="s">
        <v>410</v>
      </c>
      <c r="AM11" s="1592"/>
      <c r="AN11" s="126" t="s">
        <v>295</v>
      </c>
      <c r="AO11" s="861" t="s">
        <v>296</v>
      </c>
      <c r="AP11" s="48" t="s">
        <v>297</v>
      </c>
      <c r="AV11" s="210" t="s">
        <v>280</v>
      </c>
    </row>
    <row r="12" spans="2:48" ht="13.8" x14ac:dyDescent="0.2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3.8" x14ac:dyDescent="0.2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3.8" x14ac:dyDescent="0.2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3.8" x14ac:dyDescent="0.2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3.8" x14ac:dyDescent="0.2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3.8" x14ac:dyDescent="0.2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3.8" x14ac:dyDescent="0.2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3.8" x14ac:dyDescent="0.2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3.8" x14ac:dyDescent="0.2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3.8" x14ac:dyDescent="0.2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3.8" x14ac:dyDescent="0.2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3.8" x14ac:dyDescent="0.2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3.8" x14ac:dyDescent="0.2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3.8" x14ac:dyDescent="0.2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3.8" x14ac:dyDescent="0.2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3.8" x14ac:dyDescent="0.2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3.8" x14ac:dyDescent="0.2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3.8" x14ac:dyDescent="0.2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3.8" x14ac:dyDescent="0.2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3.8" x14ac:dyDescent="0.2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3.8" x14ac:dyDescent="0.2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3.8" x14ac:dyDescent="0.2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3.8" x14ac:dyDescent="0.2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3.8" x14ac:dyDescent="0.2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3.8" x14ac:dyDescent="0.2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3.8" x14ac:dyDescent="0.2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3.8" x14ac:dyDescent="0.2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3.8" x14ac:dyDescent="0.2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3.8" x14ac:dyDescent="0.2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3.8" x14ac:dyDescent="0.2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3.8" x14ac:dyDescent="0.2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3.8" x14ac:dyDescent="0.2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3.8" x14ac:dyDescent="0.2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3.8" x14ac:dyDescent="0.2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3.8" x14ac:dyDescent="0.2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3.8" x14ac:dyDescent="0.2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3.8" x14ac:dyDescent="0.2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3.8" x14ac:dyDescent="0.2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3.8" x14ac:dyDescent="0.2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3.8" x14ac:dyDescent="0.2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3.8" x14ac:dyDescent="0.2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3.8" x14ac:dyDescent="0.2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3.8" x14ac:dyDescent="0.2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3.8" x14ac:dyDescent="0.2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3.8" x14ac:dyDescent="0.2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3.8" x14ac:dyDescent="0.2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3.8" x14ac:dyDescent="0.2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3.8" x14ac:dyDescent="0.2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3.8" x14ac:dyDescent="0.2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3.8" x14ac:dyDescent="0.2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3.8" x14ac:dyDescent="0.2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3.8" x14ac:dyDescent="0.2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3.8" x14ac:dyDescent="0.2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3.8" x14ac:dyDescent="0.2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3.8" x14ac:dyDescent="0.2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3.8" x14ac:dyDescent="0.2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3.8" x14ac:dyDescent="0.2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3.8" x14ac:dyDescent="0.2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3.8" x14ac:dyDescent="0.2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3.8" x14ac:dyDescent="0.2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3.8" x14ac:dyDescent="0.2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3.8" x14ac:dyDescent="0.2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3.8" x14ac:dyDescent="0.2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3.8" x14ac:dyDescent="0.2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3.8" x14ac:dyDescent="0.2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3.8" x14ac:dyDescent="0.2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3.8" x14ac:dyDescent="0.2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3.8" x14ac:dyDescent="0.2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3.8" x14ac:dyDescent="0.2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3.8" x14ac:dyDescent="0.2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3.8" x14ac:dyDescent="0.2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3.8" x14ac:dyDescent="0.2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3.8" x14ac:dyDescent="0.2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3.8" x14ac:dyDescent="0.2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3.8" x14ac:dyDescent="0.2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3.8" x14ac:dyDescent="0.2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3.8" x14ac:dyDescent="0.2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3.8" x14ac:dyDescent="0.2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3.8" x14ac:dyDescent="0.2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3.8" x14ac:dyDescent="0.2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3.8" x14ac:dyDescent="0.2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3.8" x14ac:dyDescent="0.2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3.8" x14ac:dyDescent="0.2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3.8" x14ac:dyDescent="0.2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3.8" x14ac:dyDescent="0.2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3.8" x14ac:dyDescent="0.2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3.8" x14ac:dyDescent="0.2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3.8" x14ac:dyDescent="0.2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3.8" x14ac:dyDescent="0.2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3.8" x14ac:dyDescent="0.2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3.8" x14ac:dyDescent="0.2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3.8" x14ac:dyDescent="0.2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3.8" x14ac:dyDescent="0.2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3.8" x14ac:dyDescent="0.2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3.8" x14ac:dyDescent="0.2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3.8" x14ac:dyDescent="0.2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3.8" x14ac:dyDescent="0.2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3.8" x14ac:dyDescent="0.2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3.8" x14ac:dyDescent="0.2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3.8" x14ac:dyDescent="0.2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3.8" x14ac:dyDescent="0.2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3.8" x14ac:dyDescent="0.2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3.8" x14ac:dyDescent="0.2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3.8" x14ac:dyDescent="0.2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3.8" x14ac:dyDescent="0.2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3.8" x14ac:dyDescent="0.2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3.8" x14ac:dyDescent="0.2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3.8" x14ac:dyDescent="0.2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3.8" x14ac:dyDescent="0.2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3.8" x14ac:dyDescent="0.2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3.8" x14ac:dyDescent="0.2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3.8" x14ac:dyDescent="0.2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3.8" x14ac:dyDescent="0.2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3.8" x14ac:dyDescent="0.2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3.8" x14ac:dyDescent="0.2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3.8" x14ac:dyDescent="0.2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3.8" x14ac:dyDescent="0.2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3.8" x14ac:dyDescent="0.2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3.8" x14ac:dyDescent="0.2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3.8" x14ac:dyDescent="0.2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3.8" x14ac:dyDescent="0.2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3.8" x14ac:dyDescent="0.2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3.8" x14ac:dyDescent="0.2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3.8" x14ac:dyDescent="0.2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3.8" x14ac:dyDescent="0.2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3.8" x14ac:dyDescent="0.2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3.8" x14ac:dyDescent="0.2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3.8" x14ac:dyDescent="0.2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3.8" x14ac:dyDescent="0.2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3.8" x14ac:dyDescent="0.2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3.8" x14ac:dyDescent="0.2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3.8" x14ac:dyDescent="0.2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3.8" x14ac:dyDescent="0.2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3.8" x14ac:dyDescent="0.2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3.8" x14ac:dyDescent="0.2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3.8" x14ac:dyDescent="0.2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3.8" x14ac:dyDescent="0.2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3.8" x14ac:dyDescent="0.2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3.8" x14ac:dyDescent="0.2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3.8" x14ac:dyDescent="0.2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3.8" x14ac:dyDescent="0.2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3.8" x14ac:dyDescent="0.2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3.8" x14ac:dyDescent="0.2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3.8" x14ac:dyDescent="0.2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3.8" x14ac:dyDescent="0.2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3.8" x14ac:dyDescent="0.2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3.8" x14ac:dyDescent="0.2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3.8" x14ac:dyDescent="0.2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3.8" x14ac:dyDescent="0.2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3.8" x14ac:dyDescent="0.2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3.8" x14ac:dyDescent="0.2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3.8" x14ac:dyDescent="0.2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3.8" x14ac:dyDescent="0.2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3.8" x14ac:dyDescent="0.2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3.8" x14ac:dyDescent="0.2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3.8" x14ac:dyDescent="0.2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3.8" x14ac:dyDescent="0.2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3.8" x14ac:dyDescent="0.2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3.8" x14ac:dyDescent="0.2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3.8" x14ac:dyDescent="0.2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3.8" x14ac:dyDescent="0.2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3.8" x14ac:dyDescent="0.2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3.8" x14ac:dyDescent="0.2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3.8" x14ac:dyDescent="0.2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3.8" x14ac:dyDescent="0.2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3.8" x14ac:dyDescent="0.2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3.8" x14ac:dyDescent="0.2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3.8" x14ac:dyDescent="0.2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3.8" x14ac:dyDescent="0.2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3.8" x14ac:dyDescent="0.2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3.8" x14ac:dyDescent="0.2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3.8" x14ac:dyDescent="0.2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3.8" x14ac:dyDescent="0.2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3.8" x14ac:dyDescent="0.2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3.8" x14ac:dyDescent="0.2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3.8" x14ac:dyDescent="0.2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3.8" x14ac:dyDescent="0.2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3.8" x14ac:dyDescent="0.2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3.8" x14ac:dyDescent="0.2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3.8" x14ac:dyDescent="0.2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3.8" x14ac:dyDescent="0.2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3.8" x14ac:dyDescent="0.2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3.8" x14ac:dyDescent="0.2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3.8" x14ac:dyDescent="0.2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3.8" x14ac:dyDescent="0.2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3.8" x14ac:dyDescent="0.2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3.8" x14ac:dyDescent="0.2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3.8" x14ac:dyDescent="0.2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3.8" x14ac:dyDescent="0.2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3.8" x14ac:dyDescent="0.2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3.8" x14ac:dyDescent="0.2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3.8" x14ac:dyDescent="0.2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3.8" x14ac:dyDescent="0.2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3.8" x14ac:dyDescent="0.2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3.8" x14ac:dyDescent="0.2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3.8" x14ac:dyDescent="0.2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3.8" x14ac:dyDescent="0.2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3.8" x14ac:dyDescent="0.2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3.8" x14ac:dyDescent="0.2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3.8" x14ac:dyDescent="0.2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3.8" x14ac:dyDescent="0.2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3.8" x14ac:dyDescent="0.2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3.8" x14ac:dyDescent="0.2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3.8" x14ac:dyDescent="0.2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3.8" x14ac:dyDescent="0.2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3.8" x14ac:dyDescent="0.2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3.8" x14ac:dyDescent="0.2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3.8" x14ac:dyDescent="0.2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3.8" x14ac:dyDescent="0.2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3.8" x14ac:dyDescent="0.2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3.8" x14ac:dyDescent="0.2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3.8" x14ac:dyDescent="0.2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3.8" x14ac:dyDescent="0.2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3.8" x14ac:dyDescent="0.2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3.8" x14ac:dyDescent="0.2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3.8" x14ac:dyDescent="0.2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3.8" x14ac:dyDescent="0.2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3.8" x14ac:dyDescent="0.2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3.8" x14ac:dyDescent="0.2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3.8" x14ac:dyDescent="0.2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3.8" x14ac:dyDescent="0.2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3.8" x14ac:dyDescent="0.2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3.8" x14ac:dyDescent="0.2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3.8" x14ac:dyDescent="0.2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3.8" x14ac:dyDescent="0.2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3.8" x14ac:dyDescent="0.2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3.8" x14ac:dyDescent="0.2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3.8" x14ac:dyDescent="0.2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3.8" x14ac:dyDescent="0.2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3.8" x14ac:dyDescent="0.2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3.8" x14ac:dyDescent="0.2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3.8" x14ac:dyDescent="0.2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3.8" x14ac:dyDescent="0.2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3.8" x14ac:dyDescent="0.2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3.8" x14ac:dyDescent="0.2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3.8" x14ac:dyDescent="0.2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3.8" x14ac:dyDescent="0.2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3.8" x14ac:dyDescent="0.2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3.8" x14ac:dyDescent="0.2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3.8" x14ac:dyDescent="0.2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3.8" x14ac:dyDescent="0.2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3.8" x14ac:dyDescent="0.2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3.8" x14ac:dyDescent="0.2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3.8" x14ac:dyDescent="0.2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3.8" x14ac:dyDescent="0.2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4.4" thickBot="1" x14ac:dyDescent="0.3">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4.4" thickBot="1" x14ac:dyDescent="0.3">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13"/>
      <c r="AL258" s="1513"/>
      <c r="AM258" s="345">
        <f>SUM(AM12:AM257)</f>
        <v>0</v>
      </c>
    </row>
    <row r="259" spans="2:48" ht="13.8" x14ac:dyDescent="0.25">
      <c r="AJ259" s="30" t="str">
        <f>IF(AI259="","",IF(VLOOKUP(AI259,'[2]G-7 Rivers Data'!$AA$4:$AB$6,2,FALSE)=0,"Spatial Data Missing",VLOOKUP(AI259,'[2]G-7 Rivers Data'!$AA$4:$AB$6,2,FALSE)))</f>
        <v/>
      </c>
    </row>
    <row r="260" spans="2:48" ht="13.8" x14ac:dyDescent="0.25"/>
    <row r="261" spans="2:48" ht="13.8" x14ac:dyDescent="0.25"/>
    <row r="262" spans="2:48" ht="13.8" x14ac:dyDescent="0.25"/>
    <row r="263" spans="2:48" ht="13.8" x14ac:dyDescent="0.25"/>
    <row r="264" spans="2:48" ht="13.8" x14ac:dyDescent="0.25"/>
    <row r="265" spans="2:48" ht="13.8" x14ac:dyDescent="0.25"/>
    <row r="266" spans="2:48" ht="13.8" x14ac:dyDescent="0.25"/>
  </sheetData>
  <sheetProtection algorithmName="SHA-512" hashValue="FtS6evmhzhGk18IQ35p6X95BgWvXNzlUvAalCZsVMIyfTqaDs6s6XSxD2ugJLfKwV1Nx3gAjqS2zcrL9LwS2PA==" saltValue="tjI8GTKzPDiDgF8Jfb0pp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K258:AL258"/>
    <mergeCell ref="B2:E2"/>
    <mergeCell ref="B3:E4"/>
    <mergeCell ref="Q10:Q11"/>
    <mergeCell ref="N9:AL9"/>
    <mergeCell ref="R10:S10"/>
    <mergeCell ref="T10:U10"/>
    <mergeCell ref="Y2:AD4"/>
    <mergeCell ref="O2:P2"/>
    <mergeCell ref="S2:X4"/>
    <mergeCell ref="AN10:AO10"/>
    <mergeCell ref="C10:M10"/>
    <mergeCell ref="V10:X10"/>
    <mergeCell ref="Y10:AD10"/>
    <mergeCell ref="AE10:AH10"/>
    <mergeCell ref="O10:P10"/>
    <mergeCell ref="N10:N11"/>
    <mergeCell ref="AK10:AL10"/>
    <mergeCell ref="AM10:AM11"/>
    <mergeCell ref="AI10:AJ10"/>
  </mergeCells>
  <conditionalFormatting sqref="L12:L257">
    <cfRule type="containsText" dxfId="139" priority="26" operator="containsText" text="Restore">
      <formula>NOT(ISERROR(SEARCH("Restore",L12)))</formula>
    </cfRule>
  </conditionalFormatting>
  <conditionalFormatting sqref="O12:P257">
    <cfRule type="containsText" dxfId="138" priority="24" operator="containsText" text="Check">
      <formula>NOT(ISERROR(SEARCH("Check",O12)))</formula>
    </cfRule>
    <cfRule type="containsText" dxfId="137" priority="25" operator="containsText" text="Error">
      <formula>NOT(ISERROR(SEARCH("Error",O12)))</formula>
    </cfRule>
  </conditionalFormatting>
  <conditionalFormatting sqref="W12:X257">
    <cfRule type="containsText" dxfId="136" priority="23" operator="containsText" text="Spatial">
      <formula>NOT(ISERROR(SEARCH("Spatial",W12)))</formula>
    </cfRule>
  </conditionalFormatting>
  <conditionalFormatting sqref="Y12:Y257">
    <cfRule type="containsText" dxfId="135" priority="21" operator="containsText" text="Check">
      <formula>NOT(ISERROR(SEARCH("Check",Y12)))</formula>
    </cfRule>
    <cfRule type="containsText" dxfId="134" priority="22" operator="containsText" text="Error">
      <formula>NOT(ISERROR(SEARCH("Error",Y12)))</formula>
    </cfRule>
  </conditionalFormatting>
  <conditionalFormatting sqref="AB12:AM12 AM13:AM258 AB13:AL257">
    <cfRule type="containsText" dxfId="133" priority="19" operator="containsText" text="Check">
      <formula>NOT(ISERROR(SEARCH("Check",AB12)))</formula>
    </cfRule>
    <cfRule type="beginsWith" dxfId="132" priority="20" operator="beginsWith" text="Error">
      <formula>LEFT(AB12,LEN("Error"))="Error"</formula>
    </cfRule>
  </conditionalFormatting>
  <conditionalFormatting sqref="AF12:AF257">
    <cfRule type="beginsWith" dxfId="131" priority="18" operator="beginsWith" text="No - Low Difficulty">
      <formula>LEFT(AF12,LEN("No - Low Difficulty"))="No - Low Difficulty"</formula>
    </cfRule>
  </conditionalFormatting>
  <conditionalFormatting sqref="AJ12:AL257">
    <cfRule type="containsText" dxfId="130" priority="17" operator="containsText" text="Spatial">
      <formula>NOT(ISERROR(SEARCH("Spatial",AJ12)))</formula>
    </cfRule>
  </conditionalFormatting>
  <conditionalFormatting sqref="Y2">
    <cfRule type="containsText" dxfId="129" priority="16" operator="containsText" text="Note">
      <formula>NOT(ISERROR(SEARCH("Note",Y2)))</formula>
    </cfRule>
  </conditionalFormatting>
  <conditionalFormatting sqref="P3">
    <cfRule type="containsText" dxfId="128" priority="14" operator="containsText" text="Error">
      <formula>NOT(ISERROR(SEARCH("Error",P3)))</formula>
    </cfRule>
    <cfRule type="containsText" dxfId="127" priority="15" operator="containsText" text="Check">
      <formula>NOT(ISERROR(SEARCH("Check",P3)))</formula>
    </cfRule>
  </conditionalFormatting>
  <conditionalFormatting sqref="P4">
    <cfRule type="cellIs" dxfId="126" priority="2" operator="equal">
      <formula>0</formula>
    </cfRule>
    <cfRule type="containsText" dxfId="125" priority="3" operator="containsText" text="Check">
      <formula>NOT(ISERROR(SEARCH("Check",P4)))</formula>
    </cfRule>
    <cfRule type="containsText" dxfId="124" priority="4" operator="containsText" text="Error">
      <formula>NOT(ISERROR(SEARCH("Error",P4)))</formula>
    </cfRule>
    <cfRule type="cellIs" dxfId="123" priority="5" operator="lessThan">
      <formula>0</formula>
    </cfRule>
  </conditionalFormatting>
  <conditionalFormatting sqref="S2:X4">
    <cfRule type="containsText" dxfId="122" priority="9" operator="containsText" text="Check">
      <formula>NOT(ISERROR(SEARCH("Check",S2)))</formula>
    </cfRule>
  </conditionalFormatting>
  <conditionalFormatting sqref="P5">
    <cfRule type="containsText" dxfId="121" priority="7" operator="containsText" text="No">
      <formula>NOT(ISERROR(SEARCH("No",P5)))</formula>
    </cfRule>
    <cfRule type="containsText" dxfId="120" priority="8" operator="containsText" text="Yes">
      <formula>NOT(ISERROR(SEARCH("Yes",P5)))</formula>
    </cfRule>
  </conditionalFormatting>
  <conditionalFormatting sqref="U12:U257">
    <cfRule type="containsText" dxfId="119" priority="6" operator="containsText" text="Not possible">
      <formula>NOT(ISERROR(SEARCH("Not possible",U12)))</formula>
    </cfRule>
  </conditionalFormatting>
  <conditionalFormatting sqref="P3:P5">
    <cfRule type="containsText" dxfId="118" priority="1" operator="containsText" text="N/A">
      <formula>NOT(ISERROR(SEARCH("N/A",P3)))</formula>
    </cfRule>
  </conditionalFormatting>
  <dataValidations count="3">
    <dataValidation type="list" allowBlank="1" showInputMessage="1" showErrorMessage="1" sqref="T12:T257" xr:uid="{00000000-0002-0000-1B00-000000000000}">
      <formula1>INDIRECT(AV12)</formula1>
    </dataValidation>
    <dataValidation type="list" allowBlank="1" showInputMessage="1" showErrorMessage="1" sqref="AI12:AI257" xr:uid="{115CD201-24FC-4EDE-AA7A-95187C48E55A}">
      <formula1>IF(N12="Culvert",riparianencroachment2,riparianencroachment1)</formula1>
    </dataValidation>
    <dataValidation type="list" allowBlank="1" showInputMessage="1" showErrorMessage="1" sqref="AK12:AK257" xr:uid="{BBD87B82-D9B4-4B0A-A5D2-C64610A565FA}">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8" operator="lessThan" id="{A52B8C1E-E180-4514-9FE9-CBD52145CDDA}">
            <xm:f>Start!$F$22</xm:f>
            <x14:dxf>
              <font>
                <color rgb="FF383745"/>
              </font>
              <fill>
                <patternFill>
                  <bgColor rgb="FFFFC000"/>
                </patternFill>
              </fill>
            </x14:dxf>
          </x14:cfRule>
          <x14:cfRule type="cellIs" priority="449"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B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B00-000005000000}">
          <x14:formula1>
            <xm:f>'G-7 WaterC'' Data'!$B$4:$B$8</xm:f>
          </x14:formula1>
          <xm:sqref>N12:N257</xm:sqref>
        </x14:dataValidation>
        <x14:dataValidation type="list" allowBlank="1" showInputMessage="1" showErrorMessage="1" xr:uid="{F39AF14D-9454-44C2-9938-7636AE653E26}">
          <x14:formula1>
            <xm:f>IF(N12="Culvert",'G-7 WaterC'' Data'!$AK$6,'G-7 WaterC'' Data'!$AK$4:$AK$6)</xm:f>
          </x14:formula1>
          <xm:sqref>V12:V257</xm:sqref>
        </x14:dataValidation>
        <x14:dataValidation type="list" allowBlank="1" showInputMessage="1" showErrorMessage="1" xr:uid="{00000000-0002-0000-1B00-000007000000}">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77734375" defaultRowHeight="0" customHeight="1" zeroHeight="1" x14ac:dyDescent="0.25"/>
  <cols>
    <col min="1" max="1" width="3" style="30" customWidth="1"/>
    <col min="2" max="2" width="4.77734375" style="102" customWidth="1"/>
    <col min="3" max="3" width="10" style="102" customWidth="1"/>
    <col min="4" max="4" width="55" style="30" customWidth="1"/>
    <col min="5" max="5" width="13.21875" style="30" customWidth="1"/>
    <col min="6" max="6" width="18.77734375" style="30" customWidth="1"/>
    <col min="7" max="7" width="8.77734375" style="30" customWidth="1"/>
    <col min="8" max="8" width="14.21875" style="30" bestFit="1" customWidth="1"/>
    <col min="9" max="9" width="12.77734375" style="30" customWidth="1"/>
    <col min="10" max="10" width="33.77734375" style="30" customWidth="1"/>
    <col min="11" max="11" width="15.21875" style="30" customWidth="1"/>
    <col min="12" max="12" width="13.77734375" style="30" customWidth="1"/>
    <col min="13" max="13" width="18.21875" style="30" customWidth="1"/>
    <col min="14" max="14" width="12.77734375" style="30" customWidth="1"/>
    <col min="15" max="15" width="21" style="30" customWidth="1"/>
    <col min="16" max="16" width="12.77734375" style="30" customWidth="1"/>
    <col min="17" max="17" width="14.21875" style="30" customWidth="1"/>
    <col min="18" max="18" width="24.44140625" style="30" hidden="1" customWidth="1"/>
    <col min="19" max="19" width="77.5546875" style="30" customWidth="1"/>
    <col min="20" max="20" width="14.44140625" style="30" hidden="1" customWidth="1"/>
    <col min="21" max="21" width="15.21875" style="30" customWidth="1"/>
    <col min="22" max="22" width="3.77734375" style="30" customWidth="1"/>
    <col min="23" max="23" width="12.21875" style="30" customWidth="1"/>
    <col min="24" max="24" width="12.77734375" style="30" customWidth="1"/>
    <col min="25" max="25" width="10.77734375" style="30" customWidth="1"/>
    <col min="26" max="26" width="11.77734375" style="30" customWidth="1"/>
    <col min="27" max="27" width="15.44140625" style="30" customWidth="1"/>
    <col min="28" max="28" width="13.5546875" style="30" customWidth="1"/>
    <col min="29" max="29" width="17.21875" style="30" customWidth="1"/>
    <col min="30" max="31" width="50.21875" style="30" customWidth="1"/>
    <col min="32" max="32" width="12.5546875" style="30" customWidth="1"/>
    <col min="33" max="33" width="12.21875" style="30" customWidth="1"/>
    <col min="34" max="34" width="10.21875" style="30" hidden="1" customWidth="1"/>
    <col min="35" max="35" width="11.44140625" style="30" hidden="1" customWidth="1"/>
    <col min="36" max="36" width="22.21875" style="30" hidden="1" customWidth="1"/>
    <col min="37" max="51" width="6.77734375" style="30" hidden="1" customWidth="1"/>
    <col min="52" max="52" width="10.77734375" style="30" hidden="1" customWidth="1"/>
    <col min="53" max="58" width="6.77734375" style="30" hidden="1" customWidth="1"/>
    <col min="59" max="61" width="6.77734375" style="30" customWidth="1"/>
    <col min="62" max="16384" width="6.77734375" style="30"/>
  </cols>
  <sheetData>
    <row r="1" spans="2:52" ht="12.75" customHeight="1" thickBot="1" x14ac:dyDescent="0.3">
      <c r="B1" s="30"/>
      <c r="C1" s="30"/>
    </row>
    <row r="2" spans="2:52" ht="19.5" customHeight="1" thickBot="1" x14ac:dyDescent="0.3">
      <c r="B2" s="1601" t="str">
        <f>CONCATENATE("Project Name:", " ", Start!F12, "     ", "Map Reference:", " ", Start!F66)</f>
        <v xml:space="preserve">Project Name: Grove Farm Solar     Map Reference: </v>
      </c>
      <c r="C2" s="1605"/>
      <c r="D2" s="1605"/>
      <c r="E2" s="1602"/>
      <c r="H2" s="1596" t="s">
        <v>404</v>
      </c>
      <c r="I2" s="1609"/>
      <c r="J2" s="1609"/>
      <c r="K2" s="1609"/>
      <c r="L2" s="1609"/>
      <c r="M2" s="1597"/>
      <c r="O2" s="1615" t="str" cm="1">
        <f t="array" ref="O2">IF(OR(H10:H257 = "Fairly Good", H10:H257 = "Fairly Poor"),"A 'Fairly' Category has been used - check evidence to ensure this is appropriate ⚠", "")</f>
        <v/>
      </c>
      <c r="P2" s="1615"/>
      <c r="Q2" s="1615"/>
      <c r="R2" s="1615"/>
      <c r="S2" s="1615"/>
      <c r="T2" s="1615"/>
      <c r="U2" s="1615"/>
      <c r="V2" s="1615"/>
    </row>
    <row r="3" spans="2:52" ht="15" customHeight="1" thickBot="1" x14ac:dyDescent="0.3">
      <c r="B3" s="1570" t="str">
        <f ca="1">MID(CELL("filename",A1),FIND("]",CELL("filename",A1))+1,256)</f>
        <v>F-1 Off-Site WaterC' Baseline</v>
      </c>
      <c r="C3" s="1571"/>
      <c r="D3" s="1571"/>
      <c r="E3" s="1572"/>
      <c r="H3" s="1488" t="s">
        <v>263</v>
      </c>
      <c r="I3" s="1489"/>
      <c r="J3" s="1489"/>
      <c r="K3" s="1508">
        <f>'Headline Results'!H49</f>
        <v>0</v>
      </c>
      <c r="L3" s="1508"/>
      <c r="M3" s="1509"/>
      <c r="O3" s="1615"/>
      <c r="P3" s="1615"/>
      <c r="Q3" s="1615"/>
      <c r="R3" s="1615"/>
      <c r="S3" s="1615"/>
      <c r="T3" s="1615"/>
      <c r="U3" s="1615"/>
      <c r="V3" s="1615"/>
    </row>
    <row r="4" spans="2:52" ht="15" customHeight="1" thickBot="1" x14ac:dyDescent="0.3">
      <c r="B4" s="1570"/>
      <c r="C4" s="1571"/>
      <c r="D4" s="1571"/>
      <c r="E4" s="1572"/>
      <c r="H4" s="1583" t="s">
        <v>265</v>
      </c>
      <c r="I4" s="1584"/>
      <c r="J4" s="1584"/>
      <c r="K4" s="1554">
        <f>'Headline Results'!H53</f>
        <v>0</v>
      </c>
      <c r="L4" s="1554"/>
      <c r="M4" s="1555"/>
      <c r="O4" s="1615"/>
      <c r="P4" s="1615"/>
      <c r="Q4" s="1615"/>
      <c r="R4" s="1615"/>
      <c r="S4" s="1615"/>
      <c r="T4" s="1615"/>
      <c r="U4" s="1615"/>
      <c r="V4" s="1615"/>
      <c r="W4" s="1603" t="str">
        <f>IF(SUM(AK10:AK257)&gt;0,"Check Lengths ⚠","")</f>
        <v/>
      </c>
      <c r="X4" s="1603"/>
      <c r="Y4" s="1603"/>
      <c r="Z4" s="1603"/>
      <c r="AA4" s="1603"/>
      <c r="AB4" s="1603"/>
      <c r="AC4" s="669"/>
    </row>
    <row r="5" spans="2:52" ht="27" customHeight="1" thickBot="1" x14ac:dyDescent="0.3">
      <c r="B5" s="30"/>
      <c r="C5" s="30"/>
      <c r="H5" s="1582" t="s">
        <v>267</v>
      </c>
      <c r="I5" s="1556"/>
      <c r="J5" s="1556"/>
      <c r="K5" s="1556" t="str" cm="1">
        <f t="array" ref="K5">IF(OR('Trading Summary WaterC''s'!G5:H8="No ▲"), "No - check trading summary ▲", "Yes ✓")</f>
        <v>Yes ✓</v>
      </c>
      <c r="L5" s="1556"/>
      <c r="M5" s="1557"/>
      <c r="V5" s="329"/>
      <c r="W5" s="1603"/>
      <c r="X5" s="1603"/>
      <c r="Y5" s="1603"/>
      <c r="Z5" s="1603"/>
      <c r="AA5" s="1603"/>
      <c r="AB5" s="1603"/>
      <c r="AC5" s="669"/>
    </row>
    <row r="6" spans="2:52" ht="40.200000000000003" customHeight="1" x14ac:dyDescent="0.25">
      <c r="B6" s="30"/>
      <c r="C6" s="30"/>
      <c r="D6" s="101"/>
    </row>
    <row r="7" spans="2:52" ht="14.4" thickBot="1" x14ac:dyDescent="0.3"/>
    <row r="8" spans="2:52" ht="30.75" customHeight="1" thickBot="1" x14ac:dyDescent="0.3">
      <c r="C8" s="1519" t="s">
        <v>405</v>
      </c>
      <c r="D8" s="1519"/>
      <c r="E8" s="1519"/>
      <c r="F8" s="1542" t="s">
        <v>269</v>
      </c>
      <c r="G8" s="1542"/>
      <c r="H8" s="1542" t="s">
        <v>357</v>
      </c>
      <c r="I8" s="1542"/>
      <c r="J8" s="1519" t="s">
        <v>271</v>
      </c>
      <c r="K8" s="1519"/>
      <c r="L8" s="1519"/>
      <c r="M8" s="1542" t="s">
        <v>406</v>
      </c>
      <c r="N8" s="1542"/>
      <c r="O8" s="1542" t="s">
        <v>407</v>
      </c>
      <c r="P8" s="1542"/>
      <c r="Q8" s="1517" t="s">
        <v>272</v>
      </c>
      <c r="R8" s="134" t="s">
        <v>273</v>
      </c>
      <c r="S8" s="1518" t="s">
        <v>358</v>
      </c>
      <c r="T8" s="1519"/>
      <c r="U8" s="134" t="s">
        <v>273</v>
      </c>
      <c r="V8" s="103"/>
      <c r="W8" s="1519" t="s">
        <v>274</v>
      </c>
      <c r="X8" s="1519"/>
      <c r="Y8" s="1519"/>
      <c r="Z8" s="1519"/>
      <c r="AA8" s="1519"/>
      <c r="AB8" s="1519"/>
      <c r="AC8" s="1520" t="s">
        <v>275</v>
      </c>
      <c r="AD8" s="1519" t="s">
        <v>276</v>
      </c>
      <c r="AE8" s="1519"/>
      <c r="AH8" s="37" t="s">
        <v>266</v>
      </c>
      <c r="AI8" s="37" t="s">
        <v>266</v>
      </c>
    </row>
    <row r="9" spans="2:52" ht="62.1" customHeight="1" thickBot="1" x14ac:dyDescent="0.3">
      <c r="C9" s="132" t="s">
        <v>339</v>
      </c>
      <c r="D9" s="811" t="s">
        <v>193</v>
      </c>
      <c r="E9" s="752" t="s">
        <v>34</v>
      </c>
      <c r="F9" s="132" t="s">
        <v>269</v>
      </c>
      <c r="G9" s="752" t="s">
        <v>286</v>
      </c>
      <c r="H9" s="132" t="s">
        <v>270</v>
      </c>
      <c r="I9" s="752" t="s">
        <v>286</v>
      </c>
      <c r="J9" s="132" t="s">
        <v>271</v>
      </c>
      <c r="K9" s="811" t="s">
        <v>271</v>
      </c>
      <c r="L9" s="752" t="s">
        <v>317</v>
      </c>
      <c r="M9" s="132" t="s">
        <v>409</v>
      </c>
      <c r="N9" s="752" t="s">
        <v>410</v>
      </c>
      <c r="O9" s="132" t="s">
        <v>411</v>
      </c>
      <c r="P9" s="752" t="s">
        <v>410</v>
      </c>
      <c r="Q9" s="1517"/>
      <c r="R9" s="750" t="s">
        <v>425</v>
      </c>
      <c r="S9" s="839" t="s">
        <v>361</v>
      </c>
      <c r="T9" s="866" t="s">
        <v>358</v>
      </c>
      <c r="U9" s="750" t="s">
        <v>412</v>
      </c>
      <c r="V9" s="107"/>
      <c r="W9" s="132" t="s">
        <v>384</v>
      </c>
      <c r="X9" s="811" t="s">
        <v>385</v>
      </c>
      <c r="Y9" s="811" t="s">
        <v>386</v>
      </c>
      <c r="Z9" s="811" t="s">
        <v>387</v>
      </c>
      <c r="AA9" s="811" t="s">
        <v>388</v>
      </c>
      <c r="AB9" s="752" t="s">
        <v>294</v>
      </c>
      <c r="AC9" s="1581"/>
      <c r="AD9" s="132" t="s">
        <v>295</v>
      </c>
      <c r="AE9" s="752" t="s">
        <v>296</v>
      </c>
      <c r="AF9" s="43" t="s">
        <v>297</v>
      </c>
      <c r="AG9" s="43" t="s">
        <v>363</v>
      </c>
      <c r="AH9" s="50" t="s">
        <v>298</v>
      </c>
      <c r="AI9" s="50" t="s">
        <v>299</v>
      </c>
      <c r="AJ9" s="101" t="s">
        <v>280</v>
      </c>
      <c r="AK9" s="33" t="s">
        <v>426</v>
      </c>
      <c r="AL9" s="108" t="s">
        <v>300</v>
      </c>
      <c r="AM9" s="108" t="s">
        <v>301</v>
      </c>
      <c r="AN9" s="109"/>
      <c r="AO9" s="108" t="s">
        <v>303</v>
      </c>
      <c r="AP9" s="109"/>
      <c r="AQ9" s="108" t="s">
        <v>300</v>
      </c>
      <c r="AR9" s="108" t="s">
        <v>301</v>
      </c>
      <c r="AZ9" s="811" t="s">
        <v>386</v>
      </c>
    </row>
    <row r="10" spans="2:52" ht="14.4" thickBot="1" x14ac:dyDescent="0.3">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4.4" thickBot="1" x14ac:dyDescent="0.3">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4.4" thickBot="1" x14ac:dyDescent="0.3">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4.4" thickBot="1" x14ac:dyDescent="0.3">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4.4" thickBot="1" x14ac:dyDescent="0.3">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4.4" thickBot="1" x14ac:dyDescent="0.3">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4.4" thickBot="1" x14ac:dyDescent="0.3">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4.4" thickBot="1" x14ac:dyDescent="0.3">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4.4" thickBot="1" x14ac:dyDescent="0.3">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4.4" thickBot="1" x14ac:dyDescent="0.3">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4.4" thickBot="1" x14ac:dyDescent="0.3">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4.4" thickBot="1" x14ac:dyDescent="0.3">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4.4" thickBot="1" x14ac:dyDescent="0.3">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4.4" thickBot="1" x14ac:dyDescent="0.3">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4.4" thickBot="1" x14ac:dyDescent="0.3">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4.4" thickBot="1" x14ac:dyDescent="0.3">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4.4" thickBot="1" x14ac:dyDescent="0.3">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4.4" thickBot="1" x14ac:dyDescent="0.3">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4.4" thickBot="1" x14ac:dyDescent="0.3">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4.4" thickBot="1" x14ac:dyDescent="0.3">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4.4" thickBot="1" x14ac:dyDescent="0.3">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4.4" thickBot="1" x14ac:dyDescent="0.3">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4.4" thickBot="1" x14ac:dyDescent="0.3">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4.4" thickBot="1" x14ac:dyDescent="0.3">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4.4" thickBot="1" x14ac:dyDescent="0.3">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4.4" thickBot="1" x14ac:dyDescent="0.3">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4.4" thickBot="1" x14ac:dyDescent="0.3">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4.4" thickBot="1" x14ac:dyDescent="0.3">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4.4" thickBot="1" x14ac:dyDescent="0.3">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4.4" thickBot="1" x14ac:dyDescent="0.3">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4.4" thickBot="1" x14ac:dyDescent="0.3">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4.4" thickBot="1" x14ac:dyDescent="0.3">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4.4" thickBot="1" x14ac:dyDescent="0.3">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4.4" thickBot="1" x14ac:dyDescent="0.3">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4.4" thickBot="1" x14ac:dyDescent="0.3">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4.4" thickBot="1" x14ac:dyDescent="0.3">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4.4" thickBot="1" x14ac:dyDescent="0.3">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4.4" thickBot="1" x14ac:dyDescent="0.3">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4.4" thickBot="1" x14ac:dyDescent="0.3">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4.4" thickBot="1" x14ac:dyDescent="0.3">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4.4" thickBot="1" x14ac:dyDescent="0.3">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4.4" thickBot="1" x14ac:dyDescent="0.3">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4.4" thickBot="1" x14ac:dyDescent="0.3">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4.4" thickBot="1" x14ac:dyDescent="0.3">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4.4" thickBot="1" x14ac:dyDescent="0.3">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4.4" thickBot="1" x14ac:dyDescent="0.3">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4.4" thickBot="1" x14ac:dyDescent="0.3">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4.4" thickBot="1" x14ac:dyDescent="0.3">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4.4" thickBot="1" x14ac:dyDescent="0.3">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4.4" thickBot="1" x14ac:dyDescent="0.3">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4.4" thickBot="1" x14ac:dyDescent="0.3">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4.4" thickBot="1" x14ac:dyDescent="0.3">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4.4" thickBot="1" x14ac:dyDescent="0.3">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4.4" thickBot="1" x14ac:dyDescent="0.3">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4.4" thickBot="1" x14ac:dyDescent="0.3">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4.4" thickBot="1" x14ac:dyDescent="0.3">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4.4" thickBot="1" x14ac:dyDescent="0.3">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4.4" thickBot="1" x14ac:dyDescent="0.3">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4.4" thickBot="1" x14ac:dyDescent="0.3">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4.4" thickBot="1" x14ac:dyDescent="0.3">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4.4" thickBot="1" x14ac:dyDescent="0.3">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4.4" thickBot="1" x14ac:dyDescent="0.3">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4.4" thickBot="1" x14ac:dyDescent="0.3">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4.4" thickBot="1" x14ac:dyDescent="0.3">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4.4" thickBot="1" x14ac:dyDescent="0.3">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4.4" thickBot="1" x14ac:dyDescent="0.3">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4.4" thickBot="1" x14ac:dyDescent="0.3">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4.4" thickBot="1" x14ac:dyDescent="0.3">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4.4" thickBot="1" x14ac:dyDescent="0.3">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4.4" thickBot="1" x14ac:dyDescent="0.3">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4.4" thickBot="1" x14ac:dyDescent="0.3">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4.4" thickBot="1" x14ac:dyDescent="0.3">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4.4" thickBot="1" x14ac:dyDescent="0.3">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4.4" thickBot="1" x14ac:dyDescent="0.3">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4.4" thickBot="1" x14ac:dyDescent="0.3">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4.4" thickBot="1" x14ac:dyDescent="0.3">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4.4" thickBot="1" x14ac:dyDescent="0.3">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4.4" thickBot="1" x14ac:dyDescent="0.3">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4.4" thickBot="1" x14ac:dyDescent="0.3">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4.4" thickBot="1" x14ac:dyDescent="0.3">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4.4" thickBot="1" x14ac:dyDescent="0.3">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4.4" thickBot="1" x14ac:dyDescent="0.3">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4.4" thickBot="1" x14ac:dyDescent="0.3">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4.4" thickBot="1" x14ac:dyDescent="0.3">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4.4" thickBot="1" x14ac:dyDescent="0.3">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4.4" thickBot="1" x14ac:dyDescent="0.3">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4.4" thickBot="1" x14ac:dyDescent="0.3">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4.4" thickBot="1" x14ac:dyDescent="0.3">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4.4" thickBot="1" x14ac:dyDescent="0.3">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4.4" thickBot="1" x14ac:dyDescent="0.3">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4.4" thickBot="1" x14ac:dyDescent="0.3">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4.4" thickBot="1" x14ac:dyDescent="0.3">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4.4" thickBot="1" x14ac:dyDescent="0.3">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4.4" thickBot="1" x14ac:dyDescent="0.3">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4.4" thickBot="1" x14ac:dyDescent="0.3">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4.4" thickBot="1" x14ac:dyDescent="0.3">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4.4" thickBot="1" x14ac:dyDescent="0.3">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4.4" thickBot="1" x14ac:dyDescent="0.3">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4.4" thickBot="1" x14ac:dyDescent="0.3">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4.4" thickBot="1" x14ac:dyDescent="0.3">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4.4" thickBot="1" x14ac:dyDescent="0.3">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4.4" thickBot="1" x14ac:dyDescent="0.3">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4.4" thickBot="1" x14ac:dyDescent="0.3">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4.4" thickBot="1" x14ac:dyDescent="0.3">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4.4" thickBot="1" x14ac:dyDescent="0.3">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4.4" thickBot="1" x14ac:dyDescent="0.3">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4.4" thickBot="1" x14ac:dyDescent="0.3">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4.4" thickBot="1" x14ac:dyDescent="0.3">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4.4" thickBot="1" x14ac:dyDescent="0.3">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4.4" thickBot="1" x14ac:dyDescent="0.3">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4.4" thickBot="1" x14ac:dyDescent="0.3">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4.4" thickBot="1" x14ac:dyDescent="0.3">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4.4" thickBot="1" x14ac:dyDescent="0.3">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4.4" thickBot="1" x14ac:dyDescent="0.3">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4.4" thickBot="1" x14ac:dyDescent="0.3">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4.4" thickBot="1" x14ac:dyDescent="0.3">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4.4" thickBot="1" x14ac:dyDescent="0.3">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4.4" thickBot="1" x14ac:dyDescent="0.3">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4.4" thickBot="1" x14ac:dyDescent="0.3">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4.4" thickBot="1" x14ac:dyDescent="0.3">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4.4" thickBot="1" x14ac:dyDescent="0.3">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4.4" thickBot="1" x14ac:dyDescent="0.3">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4.4" thickBot="1" x14ac:dyDescent="0.3">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4.4" thickBot="1" x14ac:dyDescent="0.3">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4.4" thickBot="1" x14ac:dyDescent="0.3">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4.4" thickBot="1" x14ac:dyDescent="0.3">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4.4" thickBot="1" x14ac:dyDescent="0.3">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4.4" thickBot="1" x14ac:dyDescent="0.3">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4.4" thickBot="1" x14ac:dyDescent="0.3">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4.4" thickBot="1" x14ac:dyDescent="0.3">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4.4" thickBot="1" x14ac:dyDescent="0.3">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4.4" thickBot="1" x14ac:dyDescent="0.3">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4.4" thickBot="1" x14ac:dyDescent="0.3">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4.4" thickBot="1" x14ac:dyDescent="0.3">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4.4" thickBot="1" x14ac:dyDescent="0.3">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4.4" thickBot="1" x14ac:dyDescent="0.3">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4.4" thickBot="1" x14ac:dyDescent="0.3">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4.4" thickBot="1" x14ac:dyDescent="0.3">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4.4" thickBot="1" x14ac:dyDescent="0.3">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4.4" thickBot="1" x14ac:dyDescent="0.3">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4.4" thickBot="1" x14ac:dyDescent="0.3">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4.4" thickBot="1" x14ac:dyDescent="0.3">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4.4" thickBot="1" x14ac:dyDescent="0.3">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4.4" thickBot="1" x14ac:dyDescent="0.3">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4.4" thickBot="1" x14ac:dyDescent="0.3">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4.4" thickBot="1" x14ac:dyDescent="0.3">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4.4" thickBot="1" x14ac:dyDescent="0.3">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4.4" thickBot="1" x14ac:dyDescent="0.3">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4.4" thickBot="1" x14ac:dyDescent="0.3">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4.4" thickBot="1" x14ac:dyDescent="0.3">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4.4" thickBot="1" x14ac:dyDescent="0.3">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4.4" thickBot="1" x14ac:dyDescent="0.3">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4.4" thickBot="1" x14ac:dyDescent="0.3">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4.4" thickBot="1" x14ac:dyDescent="0.3">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4.4" thickBot="1" x14ac:dyDescent="0.3">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4.4" thickBot="1" x14ac:dyDescent="0.3">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4.4" thickBot="1" x14ac:dyDescent="0.3">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4.4" thickBot="1" x14ac:dyDescent="0.3">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4.4" thickBot="1" x14ac:dyDescent="0.3">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4.4" thickBot="1" x14ac:dyDescent="0.3">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4.4" thickBot="1" x14ac:dyDescent="0.3">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4.4" thickBot="1" x14ac:dyDescent="0.3">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4.4" thickBot="1" x14ac:dyDescent="0.3">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4.4" thickBot="1" x14ac:dyDescent="0.3">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4.4" thickBot="1" x14ac:dyDescent="0.3">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4.4" thickBot="1" x14ac:dyDescent="0.3">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4.4" thickBot="1" x14ac:dyDescent="0.3">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4.4" thickBot="1" x14ac:dyDescent="0.3">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4.4" thickBot="1" x14ac:dyDescent="0.3">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4.4" thickBot="1" x14ac:dyDescent="0.3">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4.4" thickBot="1" x14ac:dyDescent="0.3">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4.4" thickBot="1" x14ac:dyDescent="0.3">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4.4" thickBot="1" x14ac:dyDescent="0.3">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4.4" thickBot="1" x14ac:dyDescent="0.3">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4.4" thickBot="1" x14ac:dyDescent="0.3">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4.4" thickBot="1" x14ac:dyDescent="0.3">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4.4" thickBot="1" x14ac:dyDescent="0.3">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4.4" thickBot="1" x14ac:dyDescent="0.3">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4.4" thickBot="1" x14ac:dyDescent="0.3">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4.4" thickBot="1" x14ac:dyDescent="0.3">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4.4" thickBot="1" x14ac:dyDescent="0.3">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4.4" thickBot="1" x14ac:dyDescent="0.3">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4.4" thickBot="1" x14ac:dyDescent="0.3">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4.4" thickBot="1" x14ac:dyDescent="0.3">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4.4" thickBot="1" x14ac:dyDescent="0.3">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4.4" thickBot="1" x14ac:dyDescent="0.3">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4.4" thickBot="1" x14ac:dyDescent="0.3">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4.4" thickBot="1" x14ac:dyDescent="0.3">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4.4" thickBot="1" x14ac:dyDescent="0.3">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4.4" thickBot="1" x14ac:dyDescent="0.3">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4.4" thickBot="1" x14ac:dyDescent="0.3">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4.4" thickBot="1" x14ac:dyDescent="0.3">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4.4" thickBot="1" x14ac:dyDescent="0.3">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4.4" thickBot="1" x14ac:dyDescent="0.3">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4.4" thickBot="1" x14ac:dyDescent="0.3">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4.4" thickBot="1" x14ac:dyDescent="0.3">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4.4" thickBot="1" x14ac:dyDescent="0.3">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4.4" thickBot="1" x14ac:dyDescent="0.3">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4.4" thickBot="1" x14ac:dyDescent="0.3">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4.4" thickBot="1" x14ac:dyDescent="0.3">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4.4" thickBot="1" x14ac:dyDescent="0.3">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4.4" thickBot="1" x14ac:dyDescent="0.3">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4.4" thickBot="1" x14ac:dyDescent="0.3">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4.4" thickBot="1" x14ac:dyDescent="0.3">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4.4" thickBot="1" x14ac:dyDescent="0.3">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4.4" thickBot="1" x14ac:dyDescent="0.3">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4.4" thickBot="1" x14ac:dyDescent="0.3">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4.4" thickBot="1" x14ac:dyDescent="0.3">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4.4" thickBot="1" x14ac:dyDescent="0.3">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4.4" thickBot="1" x14ac:dyDescent="0.3">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4.4" thickBot="1" x14ac:dyDescent="0.3">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4.4" thickBot="1" x14ac:dyDescent="0.3">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4.4" thickBot="1" x14ac:dyDescent="0.3">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4.4" thickBot="1" x14ac:dyDescent="0.3">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4.4" thickBot="1" x14ac:dyDescent="0.3">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4.4" thickBot="1" x14ac:dyDescent="0.3">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4.4" thickBot="1" x14ac:dyDescent="0.3">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4.4" thickBot="1" x14ac:dyDescent="0.3">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4.4" thickBot="1" x14ac:dyDescent="0.3">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4.4" thickBot="1" x14ac:dyDescent="0.3">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4.4" thickBot="1" x14ac:dyDescent="0.3">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4.4" thickBot="1" x14ac:dyDescent="0.3">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4.4" thickBot="1" x14ac:dyDescent="0.3">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4.4" thickBot="1" x14ac:dyDescent="0.3">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4.4" thickBot="1" x14ac:dyDescent="0.3">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4.4" thickBot="1" x14ac:dyDescent="0.3">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4.4" thickBot="1" x14ac:dyDescent="0.3">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4.4" thickBot="1" x14ac:dyDescent="0.3">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4.4" thickBot="1" x14ac:dyDescent="0.3">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4.4" thickBot="1" x14ac:dyDescent="0.3">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4.4" thickBot="1" x14ac:dyDescent="0.3">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4.4" thickBot="1" x14ac:dyDescent="0.3">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4.4" thickBot="1" x14ac:dyDescent="0.3">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4.4" thickBot="1" x14ac:dyDescent="0.3">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4.4" thickBot="1" x14ac:dyDescent="0.3">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4.4" thickBot="1" x14ac:dyDescent="0.3">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4.4" thickBot="1" x14ac:dyDescent="0.3">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4.4" thickBot="1" x14ac:dyDescent="0.3">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4.4" thickBot="1" x14ac:dyDescent="0.3">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4.4" thickBot="1" x14ac:dyDescent="0.3">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4.4" thickBot="1" x14ac:dyDescent="0.3">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4.4" thickBot="1" x14ac:dyDescent="0.3">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4.4" thickBot="1" x14ac:dyDescent="0.3">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4.4" thickBot="1" x14ac:dyDescent="0.3">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4.4" thickBot="1" x14ac:dyDescent="0.3">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4.4" thickBot="1" x14ac:dyDescent="0.3">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4.4" thickBot="1" x14ac:dyDescent="0.3">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4.4" thickBot="1" x14ac:dyDescent="0.3">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x14ac:dyDescent="0.3">
      <c r="B258" s="30"/>
      <c r="C258" s="30"/>
      <c r="D258" s="859"/>
      <c r="E258" s="412">
        <f>IF('Detailed Results'!K164&gt;0,"Error ▲",SUM(E10:E257))</f>
        <v>0</v>
      </c>
      <c r="P258" s="1513"/>
      <c r="Q258" s="1513"/>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3.8" x14ac:dyDescent="0.25">
      <c r="B259" s="30"/>
      <c r="C259" s="30"/>
      <c r="V259" s="133"/>
      <c r="W259" s="133"/>
      <c r="X259" s="133"/>
      <c r="Y259" s="133"/>
      <c r="Z259" s="133"/>
      <c r="AA259" s="133"/>
      <c r="AB259" s="133"/>
      <c r="AC259" s="133"/>
      <c r="AZ259" s="133"/>
    </row>
    <row r="260" spans="2:52" ht="13.8" x14ac:dyDescent="0.25"/>
    <row r="261" spans="2:52" ht="13.8" x14ac:dyDescent="0.25"/>
    <row r="262" spans="2:52" ht="13.8" x14ac:dyDescent="0.25"/>
    <row r="263" spans="2:52" ht="13.8" x14ac:dyDescent="0.25"/>
    <row r="264" spans="2:52" ht="13.8" x14ac:dyDescent="0.25"/>
    <row r="265" spans="2:52" ht="13.8" x14ac:dyDescent="0.25"/>
    <row r="266" spans="2:52" ht="13.8" x14ac:dyDescent="0.25"/>
    <row r="267" spans="2:52" ht="13.8" x14ac:dyDescent="0.25"/>
    <row r="268" spans="2:52" ht="13.8" x14ac:dyDescent="0.25"/>
    <row r="269" spans="2:52" ht="13.8" x14ac:dyDescent="0.25"/>
    <row r="270" spans="2:52" ht="13.8" x14ac:dyDescent="0.25"/>
    <row r="271" spans="2:52" ht="13.8" x14ac:dyDescent="0.25"/>
    <row r="272" spans="2:52" ht="13.8" x14ac:dyDescent="0.25"/>
  </sheetData>
  <sheetProtection algorithmName="SHA-512" hashValue="7CcmCuzZGsifJSfD9MvcYAWZx2aNuO211mfcdw/1gGSchVerPC6WcYF0tVjyJgt0wK+4tAVXSIQ1ngfCIN9NJg==" saltValue="b6FxX+Jw+JnzNt/gk3Xup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B2:E2"/>
    <mergeCell ref="B3:E4"/>
    <mergeCell ref="C8:E8"/>
    <mergeCell ref="F8:G8"/>
    <mergeCell ref="H8:I8"/>
    <mergeCell ref="H2:M2"/>
    <mergeCell ref="K3:M3"/>
    <mergeCell ref="K4:M4"/>
    <mergeCell ref="H3:J3"/>
    <mergeCell ref="H4:J4"/>
    <mergeCell ref="H5:J5"/>
    <mergeCell ref="K5:M5"/>
    <mergeCell ref="W4:AB5"/>
    <mergeCell ref="P258:Q258"/>
    <mergeCell ref="AD8:AE8"/>
    <mergeCell ref="J8:L8"/>
    <mergeCell ref="M8:N8"/>
    <mergeCell ref="O8:P8"/>
    <mergeCell ref="Q8:Q9"/>
    <mergeCell ref="W8:AB8"/>
    <mergeCell ref="O2:V4"/>
    <mergeCell ref="S8:T8"/>
    <mergeCell ref="AC8:AC9"/>
  </mergeCells>
  <conditionalFormatting sqref="Q10:Q257">
    <cfRule type="containsText" dxfId="115" priority="32" operator="containsText" text="Bespoke">
      <formula>NOT(ISERROR(SEARCH("Bespoke",Q10)))</formula>
    </cfRule>
    <cfRule type="containsText" dxfId="114" priority="80" operator="containsText" text="Restore">
      <formula>NOT(ISERROR(SEARCH("Restore",Q10)))</formula>
    </cfRule>
  </conditionalFormatting>
  <conditionalFormatting sqref="K10:Q257">
    <cfRule type="containsText" dxfId="113" priority="81" operator="containsText" text="Spatial">
      <formula>NOT(ISERROR(SEARCH("Spatial",K10)))</formula>
    </cfRule>
  </conditionalFormatting>
  <conditionalFormatting sqref="AA10:AA257">
    <cfRule type="containsText" dxfId="112" priority="77" operator="containsText" text="Error">
      <formula>NOT(ISERROR(SEARCH("Error",AA10)))</formula>
    </cfRule>
  </conditionalFormatting>
  <conditionalFormatting sqref="AB10:AC258">
    <cfRule type="containsText" dxfId="111" priority="75" operator="containsText" text="Check">
      <formula>NOT(ISERROR(SEARCH("Check",AB10)))</formula>
    </cfRule>
    <cfRule type="containsText" dxfId="110" priority="76" operator="containsText" text="Error">
      <formula>NOT(ISERROR(SEARCH("Error",AB10)))</formula>
    </cfRule>
  </conditionalFormatting>
  <conditionalFormatting sqref="V5 W4">
    <cfRule type="containsText" dxfId="109" priority="74" operator="containsText" text="Check">
      <formula>NOT(ISERROR(SEARCH("Check",V4)))</formula>
    </cfRule>
  </conditionalFormatting>
  <conditionalFormatting sqref="K3">
    <cfRule type="containsText" dxfId="108" priority="72" operator="containsText" text="Error">
      <formula>NOT(ISERROR(SEARCH("Error",K3)))</formula>
    </cfRule>
    <cfRule type="containsText" dxfId="107" priority="73" operator="containsText" text="Check">
      <formula>NOT(ISERROR(SEARCH("Check",K3)))</formula>
    </cfRule>
  </conditionalFormatting>
  <conditionalFormatting sqref="K4">
    <cfRule type="containsText" dxfId="106" priority="38" operator="containsText" text="Error">
      <formula>NOT(ISERROR(SEARCH("Error",K4)))</formula>
    </cfRule>
    <cfRule type="containsText" dxfId="105" priority="39" operator="containsText" text="Check">
      <formula>NOT(ISERROR(SEARCH("Check",K4)))</formula>
    </cfRule>
  </conditionalFormatting>
  <conditionalFormatting sqref="O2:V4">
    <cfRule type="containsText" dxfId="104" priority="67" operator="containsText" text="Check">
      <formula>NOT(ISERROR(SEARCH("Check",O2)))</formula>
    </cfRule>
  </conditionalFormatting>
  <conditionalFormatting sqref="K5">
    <cfRule type="containsText" dxfId="103" priority="65" operator="containsText" text="No">
      <formula>NOT(ISERROR(SEARCH("No",K5)))</formula>
    </cfRule>
    <cfRule type="containsText" dxfId="102" priority="66" operator="containsText" text="Yes">
      <formula>NOT(ISERROR(SEARCH("Yes",K5)))</formula>
    </cfRule>
  </conditionalFormatting>
  <conditionalFormatting sqref="S10:S257">
    <cfRule type="containsText" dxfId="101" priority="63" operator="containsText" text="Existing Value Not Required">
      <formula>NOT(ISERROR(SEARCH("Existing Value Not Required",S10)))</formula>
    </cfRule>
    <cfRule type="containsText" dxfId="100" priority="64" operator="containsText" text="Existing Value Required">
      <formula>NOT(ISERROR(SEARCH("Existing Value Required",S10)))</formula>
    </cfRule>
  </conditionalFormatting>
  <conditionalFormatting sqref="S10:T257">
    <cfRule type="containsText" dxfId="99" priority="59" operator="containsText" text="Check">
      <formula>NOT(ISERROR(SEARCH("Check",S10)))</formula>
    </cfRule>
    <cfRule type="containsText" dxfId="98" priority="60" operator="containsText" text="Error">
      <formula>NOT(ISERROR(SEARCH("Error",S10)))</formula>
    </cfRule>
  </conditionalFormatting>
  <conditionalFormatting sqref="T10:T257">
    <cfRule type="containsText" dxfId="97" priority="58" operator="containsText" text="Spatial">
      <formula>NOT(ISERROR(SEARCH("Spatial",T10)))</formula>
    </cfRule>
  </conditionalFormatting>
  <conditionalFormatting sqref="I10:I257">
    <cfRule type="containsText" dxfId="96" priority="43" operator="containsText" text="Not possible">
      <formula>NOT(ISERROR(SEARCH("Not possible",I10)))</formula>
    </cfRule>
  </conditionalFormatting>
  <conditionalFormatting sqref="Y258:Z258">
    <cfRule type="containsText" dxfId="95" priority="42" operator="containsText" text="Error">
      <formula>NOT(ISERROR(SEARCH("Error",Y258)))</formula>
    </cfRule>
  </conditionalFormatting>
  <conditionalFormatting sqref="Y10:Y257">
    <cfRule type="containsText" dxfId="94" priority="41" operator="containsText" text="Error">
      <formula>NOT(ISERROR(SEARCH("Error",Y10)))</formula>
    </cfRule>
  </conditionalFormatting>
  <conditionalFormatting sqref="K4:M4">
    <cfRule type="cellIs" dxfId="93" priority="37" operator="equal">
      <formula>0</formula>
    </cfRule>
    <cfRule type="cellIs" dxfId="92" priority="40" operator="lessThan">
      <formula>0</formula>
    </cfRule>
  </conditionalFormatting>
  <conditionalFormatting sqref="AC1:AC1048576">
    <cfRule type="containsText" dxfId="91" priority="35" operator="containsText" text="Yes">
      <formula>NOT(ISERROR(SEARCH("Yes",AC1)))</formula>
    </cfRule>
    <cfRule type="containsText" dxfId="90" priority="36" operator="containsText" text="No">
      <formula>NOT(ISERROR(SEARCH("No",AC1)))</formula>
    </cfRule>
  </conditionalFormatting>
  <conditionalFormatting sqref="AB1:AB1048576">
    <cfRule type="containsText" dxfId="89" priority="33" operator="containsText" text="✓">
      <formula>NOT(ISERROR(SEARCH("✓",AB1)))</formula>
    </cfRule>
    <cfRule type="containsText" dxfId="88" priority="34" operator="containsText" text="▲">
      <formula>NOT(ISERROR(SEARCH("▲",AB1)))</formula>
    </cfRule>
  </conditionalFormatting>
  <conditionalFormatting sqref="U10:U257">
    <cfRule type="containsText" dxfId="87" priority="31" operator="containsText" text="⚠">
      <formula>NOT(ISERROR(SEARCH("⚠",U10)))</formula>
    </cfRule>
  </conditionalFormatting>
  <conditionalFormatting sqref="AA10:AA257">
    <cfRule type="containsText" dxfId="86" priority="30" operator="containsText" text="⚠">
      <formula>NOT(ISERROR(SEARCH("⚠",AA10)))</formula>
    </cfRule>
  </conditionalFormatting>
  <conditionalFormatting sqref="W258:AB258">
    <cfRule type="containsText" dxfId="85" priority="27" operator="containsText" text="▲">
      <formula>NOT(ISERROR(SEARCH("▲",W258)))</formula>
    </cfRule>
  </conditionalFormatting>
  <conditionalFormatting sqref="AA258">
    <cfRule type="containsText" dxfId="84" priority="28" operator="containsText" text="▲">
      <formula>NOT(ISERROR(SEARCH("▲",AA258)))</formula>
    </cfRule>
  </conditionalFormatting>
  <conditionalFormatting sqref="U258">
    <cfRule type="containsText" dxfId="83" priority="26" operator="containsText" text="▲">
      <formula>NOT(ISERROR(SEARCH("▲",U258)))</formula>
    </cfRule>
  </conditionalFormatting>
  <conditionalFormatting sqref="E258">
    <cfRule type="containsText" dxfId="82" priority="25" operator="containsText" text="▲">
      <formula>NOT(ISERROR(SEARCH("▲",E258)))</formula>
    </cfRule>
  </conditionalFormatting>
  <conditionalFormatting sqref="AH10:AH257">
    <cfRule type="cellIs" dxfId="81" priority="21" operator="equal">
      <formula>""</formula>
    </cfRule>
    <cfRule type="cellIs" dxfId="80" priority="22" operator="equal">
      <formula>"None"</formula>
    </cfRule>
    <cfRule type="cellIs" dxfId="79" priority="24" operator="greaterThan">
      <formula>0</formula>
    </cfRule>
  </conditionalFormatting>
  <conditionalFormatting sqref="AI11">
    <cfRule type="cellIs" dxfId="78" priority="19" operator="equal">
      <formula>"None"</formula>
    </cfRule>
    <cfRule type="cellIs" dxfId="77" priority="20" operator="equal">
      <formula>""</formula>
    </cfRule>
    <cfRule type="cellIs" dxfId="76" priority="23" operator="greaterThan">
      <formula>0</formula>
    </cfRule>
  </conditionalFormatting>
  <conditionalFormatting sqref="AH10:AH257">
    <cfRule type="cellIs" dxfId="75" priority="15" operator="equal">
      <formula>""</formula>
    </cfRule>
    <cfRule type="cellIs" dxfId="74" priority="16" operator="equal">
      <formula>"None"</formula>
    </cfRule>
    <cfRule type="cellIs" dxfId="73" priority="18" operator="greaterThan">
      <formula>0</formula>
    </cfRule>
  </conditionalFormatting>
  <conditionalFormatting sqref="AI10:AI257">
    <cfRule type="cellIs" dxfId="72" priority="13" operator="equal">
      <formula>"None"</formula>
    </cfRule>
    <cfRule type="cellIs" dxfId="71" priority="14" operator="equal">
      <formula>""</formula>
    </cfRule>
    <cfRule type="cellIs" dxfId="70" priority="17" operator="greaterThan">
      <formula>0</formula>
    </cfRule>
  </conditionalFormatting>
  <conditionalFormatting sqref="AH10:AH257">
    <cfRule type="cellIs" dxfId="69" priority="9" operator="equal">
      <formula>""</formula>
    </cfRule>
    <cfRule type="cellIs" dxfId="68" priority="10" operator="equal">
      <formula>"None"</formula>
    </cfRule>
    <cfRule type="cellIs" dxfId="67" priority="12" operator="greaterThan">
      <formula>0</formula>
    </cfRule>
  </conditionalFormatting>
  <conditionalFormatting sqref="AI12:AI257">
    <cfRule type="cellIs" dxfId="66" priority="7" operator="equal">
      <formula>"None"</formula>
    </cfRule>
    <cfRule type="cellIs" dxfId="65" priority="8" operator="equal">
      <formula>""</formula>
    </cfRule>
    <cfRule type="cellIs" dxfId="64" priority="11" operator="greaterThan">
      <formula>0</formula>
    </cfRule>
  </conditionalFormatting>
  <conditionalFormatting sqref="AH10:AH257">
    <cfRule type="cellIs" dxfId="63" priority="6" operator="equal">
      <formula>0</formula>
    </cfRule>
  </conditionalFormatting>
  <conditionalFormatting sqref="AZ258">
    <cfRule type="containsText" dxfId="62" priority="5" operator="containsText" text="Error">
      <formula>NOT(ISERROR(SEARCH("Error",AZ258)))</formula>
    </cfRule>
  </conditionalFormatting>
  <conditionalFormatting sqref="AZ10:AZ257">
    <cfRule type="containsText" dxfId="61" priority="4" operator="containsText" text="Error">
      <formula>NOT(ISERROR(SEARCH("Error",AZ10)))</formula>
    </cfRule>
  </conditionalFormatting>
  <conditionalFormatting sqref="AZ258">
    <cfRule type="containsText" dxfId="60" priority="2" operator="containsText" text="▲">
      <formula>NOT(ISERROR(SEARCH("▲",AZ258)))</formula>
    </cfRule>
  </conditionalFormatting>
  <conditionalFormatting sqref="K3:M5">
    <cfRule type="containsText" dxfId="59" priority="1" operator="containsText" text="N/A">
      <formula>NOT(ISERROR(SEARCH("N/A",K3)))</formula>
    </cfRule>
  </conditionalFormatting>
  <dataValidations count="4">
    <dataValidation type="list" allowBlank="1" showInputMessage="1" showErrorMessage="1" sqref="H10:H257" xr:uid="{00000000-0002-0000-1800-000000000000}">
      <formula1>INDIRECT(AJ10)</formula1>
    </dataValidation>
    <dataValidation type="list" allowBlank="1" showInputMessage="1" showErrorMessage="1" sqref="M10:M257" xr:uid="{D8743FDD-6912-437C-A339-13D0195C0087}">
      <formula1>IF(D10="Culvert",riparianencroachment2,riparianencroachment1)</formula1>
    </dataValidation>
    <dataValidation type="list" allowBlank="1" showInputMessage="1" showErrorMessage="1" sqref="AC10:AC257" xr:uid="{4151BCAC-FA7D-4A21-974B-4D0227956BDD}">
      <formula1>"Yes, No"</formula1>
    </dataValidation>
    <dataValidation type="list" allowBlank="1" showInputMessage="1" showErrorMessage="1" sqref="O10:O257" xr:uid="{992FF488-5483-4234-B169-A25B32BCD193}">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1" operator="lessThan" id="{B0CC3A41-3BA3-464F-80F6-EA546015E284}">
            <xm:f>Start!$F$22</xm:f>
            <x14:dxf>
              <font>
                <color rgb="FF383745"/>
              </font>
              <fill>
                <patternFill>
                  <bgColor rgb="FFFFC000"/>
                </patternFill>
              </fill>
            </x14:dxf>
          </x14:cfRule>
          <x14:cfRule type="cellIs" priority="482"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9"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3"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4000000}">
          <x14:formula1>
            <xm:f>'G-7 WaterC'' Data'!$B$4:$B$8</xm:f>
          </x14:formula1>
          <xm:sqref>D10:D257</xm:sqref>
        </x14:dataValidation>
        <x14:dataValidation type="list" allowBlank="1" showInputMessage="1" showErrorMessage="1" xr:uid="{91552617-AC51-4EB3-936B-80A72E295568}">
          <x14:formula1>
            <xm:f>IF(D10="Culvert",'G-7 WaterC'' Data'!$AK$6,'G-7 WaterC'' Data'!$AK$4:$AK$6)</xm:f>
          </x14:formula1>
          <xm:sqref>J10:J257</xm:sqref>
        </x14:dataValidation>
        <x14:dataValidation type="list" allowBlank="1" showInputMessage="1" showErrorMessage="1" xr:uid="{D3C002D9-3D24-4191-B436-0EEE13FCC6B7}">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x14ac:dyDescent="0.25"/>
  <cols>
    <col min="1" max="1" width="2.77734375" style="30" customWidth="1"/>
    <col min="2" max="2" width="10.77734375" style="30" customWidth="1"/>
    <col min="3" max="3" width="47.21875" style="30" customWidth="1"/>
    <col min="4" max="4" width="10.44140625" style="30" customWidth="1"/>
    <col min="5" max="5" width="17.44140625" style="30" customWidth="1"/>
    <col min="6" max="6" width="13.21875" style="30" customWidth="1"/>
    <col min="7" max="7" width="12.5546875" style="30" bestFit="1" customWidth="1"/>
    <col min="8" max="8" width="12.5546875" style="30" customWidth="1"/>
    <col min="9" max="9" width="33.77734375" style="30" customWidth="1"/>
    <col min="10" max="10" width="15.44140625" style="30" customWidth="1"/>
    <col min="11" max="11" width="12.21875" style="30" customWidth="1"/>
    <col min="12" max="14" width="17.77734375" style="30" customWidth="1"/>
    <col min="15" max="15" width="34.5546875" style="30" customWidth="1"/>
    <col min="16" max="16" width="17.77734375" style="30" customWidth="1"/>
    <col min="17" max="17" width="15.21875" style="30" customWidth="1"/>
    <col min="18" max="18" width="14.77734375" style="30" customWidth="1"/>
    <col min="19" max="19" width="26.21875" style="30" customWidth="1"/>
    <col min="20" max="20" width="13.44140625" style="30" customWidth="1"/>
    <col min="21" max="21" width="12.21875" style="30" customWidth="1"/>
    <col min="22" max="22" width="16.44140625" style="30" customWidth="1"/>
    <col min="23" max="23" width="12.44140625" style="30" customWidth="1"/>
    <col min="24" max="24" width="17" style="30" customWidth="1"/>
    <col min="25" max="25" width="12.5546875" style="30" customWidth="1"/>
    <col min="26" max="26" width="42.77734375" style="30" customWidth="1"/>
    <col min="27" max="27" width="12.77734375" style="30" customWidth="1"/>
    <col min="28" max="28" width="12" style="30" hidden="1" customWidth="1"/>
    <col min="29" max="29" width="17.21875" style="30" customWidth="1"/>
    <col min="30" max="31" width="34.77734375" style="30" customWidth="1"/>
    <col min="32" max="32" width="12.5546875" style="30" customWidth="1"/>
    <col min="33" max="33" width="12" style="30" customWidth="1"/>
    <col min="34" max="35" width="8.77734375" style="30" customWidth="1"/>
    <col min="36" max="36" width="8.77734375" style="30" hidden="1" customWidth="1"/>
    <col min="37" max="37" width="5.77734375" style="30" hidden="1" customWidth="1"/>
    <col min="38" max="38" width="15.44140625" style="30" hidden="1" customWidth="1"/>
    <col min="39" max="16384" width="8.77734375" style="30" hidden="1"/>
  </cols>
  <sheetData>
    <row r="1" spans="2:38" ht="14.4" thickBot="1" x14ac:dyDescent="0.3"/>
    <row r="2" spans="2:38" ht="18.600000000000001" customHeight="1" thickBot="1" x14ac:dyDescent="0.3">
      <c r="B2" s="1601" t="str">
        <f>CONCATENATE("Project Name:", " ", Start!F12, "     ", "Map Reference:", " ", Start!K66)</f>
        <v xml:space="preserve">Project Name: Grove Farm Solar     Map Reference: </v>
      </c>
      <c r="C2" s="1605"/>
      <c r="D2" s="1602"/>
      <c r="F2" s="1596" t="s">
        <v>404</v>
      </c>
      <c r="G2" s="1609"/>
      <c r="H2" s="1609"/>
      <c r="I2" s="1609"/>
      <c r="J2" s="1609"/>
      <c r="K2" s="1609"/>
      <c r="L2" s="1609"/>
      <c r="M2" s="1609"/>
      <c r="N2" s="1609"/>
      <c r="O2" s="1597"/>
      <c r="P2" s="1484" t="str">
        <f>IF(OR(COUNTIF(L$12:$L259,"*30+*")&gt;0,COUNTIF(P$12:$P259,"*30+*")&gt;0),"Note; Habitat selected has a time to target condition greater than 30 years. Non standard agreement may be required.","")</f>
        <v/>
      </c>
      <c r="Q2" s="1484"/>
      <c r="R2" s="1484"/>
      <c r="S2" s="1484"/>
      <c r="T2" s="1484"/>
      <c r="U2" s="1484"/>
      <c r="V2" s="1610" t="str" cm="1">
        <f t="array" ref="V2">IF(OR(G12:G259 = "Fairly Good", G12:G259 = "Fairly Poor"),"A 'Fairly' Category has been used - check evidence to ensure this is appropriate ⚠", "")</f>
        <v/>
      </c>
      <c r="W2" s="1610"/>
      <c r="X2" s="1610"/>
      <c r="Y2" s="1610"/>
      <c r="Z2" s="1610"/>
      <c r="AA2" s="1610"/>
      <c r="AB2" s="1610"/>
      <c r="AC2" s="550"/>
    </row>
    <row r="3" spans="2:38" ht="15.6" customHeight="1" thickBot="1" x14ac:dyDescent="0.3">
      <c r="B3" s="1570" t="str">
        <f ca="1">MID(CELL("filename",A1),FIND("]",CELL("filename",A1))+1,256)</f>
        <v>F-2 Off-Site WaterC' Creation</v>
      </c>
      <c r="C3" s="1571"/>
      <c r="D3" s="1572"/>
      <c r="F3" s="1488" t="s">
        <v>263</v>
      </c>
      <c r="G3" s="1489"/>
      <c r="H3" s="1489"/>
      <c r="I3" s="1489"/>
      <c r="J3" s="1489"/>
      <c r="K3" s="1489"/>
      <c r="L3" s="1508">
        <f>'Headline Results'!H49</f>
        <v>0</v>
      </c>
      <c r="M3" s="1508"/>
      <c r="N3" s="1508"/>
      <c r="O3" s="1509"/>
      <c r="P3" s="1484"/>
      <c r="Q3" s="1484"/>
      <c r="R3" s="1484"/>
      <c r="S3" s="1484"/>
      <c r="T3" s="1484"/>
      <c r="U3" s="1484"/>
      <c r="V3" s="1610"/>
      <c r="W3" s="1610"/>
      <c r="X3" s="1610"/>
      <c r="Y3" s="1610"/>
      <c r="Z3" s="1610"/>
      <c r="AA3" s="1610"/>
      <c r="AB3" s="1610"/>
      <c r="AC3" s="550"/>
    </row>
    <row r="4" spans="2:38" ht="16.5" customHeight="1" thickBot="1" x14ac:dyDescent="0.3">
      <c r="B4" s="1570"/>
      <c r="C4" s="1571"/>
      <c r="D4" s="1572"/>
      <c r="F4" s="1583" t="s">
        <v>265</v>
      </c>
      <c r="G4" s="1584"/>
      <c r="H4" s="1584"/>
      <c r="I4" s="1584"/>
      <c r="J4" s="1584"/>
      <c r="K4" s="1584"/>
      <c r="L4" s="1554">
        <f>'Headline Results'!H53</f>
        <v>0</v>
      </c>
      <c r="M4" s="1554"/>
      <c r="N4" s="1554"/>
      <c r="O4" s="1555"/>
      <c r="P4" s="1484"/>
      <c r="Q4" s="1484"/>
      <c r="R4" s="1484"/>
      <c r="S4" s="1484"/>
      <c r="T4" s="1484"/>
      <c r="U4" s="1484"/>
      <c r="V4" s="1610"/>
      <c r="W4" s="1610"/>
      <c r="X4" s="1610"/>
      <c r="Y4" s="1610"/>
      <c r="Z4" s="1610"/>
      <c r="AA4" s="1610"/>
      <c r="AB4" s="1610"/>
      <c r="AC4" s="550"/>
    </row>
    <row r="5" spans="2:38" ht="26.55" customHeight="1" thickBot="1" x14ac:dyDescent="0.3">
      <c r="F5" s="1582" t="s">
        <v>267</v>
      </c>
      <c r="G5" s="1556"/>
      <c r="H5" s="1556"/>
      <c r="I5" s="1556"/>
      <c r="J5" s="1556"/>
      <c r="K5" s="1556"/>
      <c r="L5" s="1556" t="str" cm="1">
        <f t="array" ref="L5">IF(OR('Trading Summary WaterC''s'!G5:H8="No ▲"), "No - check trading summary ▲", "Yes ✓")</f>
        <v>Yes ✓</v>
      </c>
      <c r="M5" s="1556"/>
      <c r="N5" s="1556"/>
      <c r="O5" s="1557"/>
      <c r="P5" s="1484"/>
      <c r="Q5" s="1484"/>
      <c r="R5" s="1484"/>
      <c r="S5" s="1484"/>
      <c r="T5" s="1484"/>
      <c r="U5" s="1484"/>
      <c r="V5" s="1610"/>
      <c r="W5" s="1610"/>
      <c r="X5" s="1610"/>
      <c r="Y5" s="1610"/>
      <c r="Z5" s="1610"/>
      <c r="AA5" s="1610"/>
      <c r="AB5" s="1610"/>
      <c r="AC5" s="550"/>
    </row>
    <row r="6" spans="2:38" ht="23.25" customHeight="1" x14ac:dyDescent="0.25">
      <c r="D6" s="101"/>
      <c r="L6" s="312"/>
      <c r="M6" s="312"/>
      <c r="N6" s="312"/>
      <c r="O6" s="312"/>
      <c r="P6" s="1484"/>
      <c r="Q6" s="1484"/>
      <c r="R6" s="1484"/>
      <c r="S6" s="1484"/>
      <c r="T6" s="1484"/>
      <c r="U6" s="1484"/>
    </row>
    <row r="7" spans="2:38" ht="13.8" x14ac:dyDescent="0.25"/>
    <row r="8" spans="2:38" ht="13.8" x14ac:dyDescent="0.25"/>
    <row r="9" spans="2:38" ht="15.75" customHeight="1" thickBot="1" x14ac:dyDescent="0.3"/>
    <row r="10" spans="2:38" s="33" customFormat="1" ht="29.25" customHeight="1" thickBot="1" x14ac:dyDescent="0.3">
      <c r="B10" s="200"/>
      <c r="C10" s="1561" t="s">
        <v>389</v>
      </c>
      <c r="D10" s="1563"/>
      <c r="E10" s="1561" t="s">
        <v>269</v>
      </c>
      <c r="F10" s="1563"/>
      <c r="G10" s="1561" t="s">
        <v>270</v>
      </c>
      <c r="H10" s="1563"/>
      <c r="I10" s="1542" t="s">
        <v>271</v>
      </c>
      <c r="J10" s="1542"/>
      <c r="K10" s="1542"/>
      <c r="L10" s="1542" t="s">
        <v>314</v>
      </c>
      <c r="M10" s="1542"/>
      <c r="N10" s="1542"/>
      <c r="O10" s="1542"/>
      <c r="P10" s="1542"/>
      <c r="Q10" s="1542"/>
      <c r="R10" s="1561" t="s">
        <v>315</v>
      </c>
      <c r="S10" s="1562"/>
      <c r="T10" s="1562"/>
      <c r="U10" s="1563"/>
      <c r="V10" s="1542" t="s">
        <v>406</v>
      </c>
      <c r="W10" s="1542"/>
      <c r="X10" s="1542" t="s">
        <v>407</v>
      </c>
      <c r="Y10" s="1542"/>
      <c r="Z10" s="1542" t="s">
        <v>358</v>
      </c>
      <c r="AA10" s="1542"/>
      <c r="AB10" s="1517" t="s">
        <v>427</v>
      </c>
      <c r="AC10" s="1517" t="s">
        <v>418</v>
      </c>
      <c r="AD10" s="1310" t="s">
        <v>276</v>
      </c>
      <c r="AE10" s="1308"/>
    </row>
    <row r="11" spans="2:38" s="33" customFormat="1" ht="62.55" customHeight="1" thickBot="1" x14ac:dyDescent="0.3">
      <c r="B11" s="719" t="s">
        <v>339</v>
      </c>
      <c r="C11" s="132" t="s">
        <v>193</v>
      </c>
      <c r="D11" s="752" t="s">
        <v>428</v>
      </c>
      <c r="E11" s="132" t="s">
        <v>269</v>
      </c>
      <c r="F11" s="752" t="s">
        <v>286</v>
      </c>
      <c r="G11" s="132" t="s">
        <v>270</v>
      </c>
      <c r="H11" s="752" t="s">
        <v>286</v>
      </c>
      <c r="I11" s="132" t="s">
        <v>271</v>
      </c>
      <c r="J11" s="811" t="s">
        <v>271</v>
      </c>
      <c r="K11" s="752" t="s">
        <v>317</v>
      </c>
      <c r="L11" s="132" t="s">
        <v>392</v>
      </c>
      <c r="M11" s="811" t="s">
        <v>319</v>
      </c>
      <c r="N11" s="811" t="s">
        <v>320</v>
      </c>
      <c r="O11" s="811" t="s">
        <v>321</v>
      </c>
      <c r="P11" s="811" t="s">
        <v>429</v>
      </c>
      <c r="Q11" s="752" t="s">
        <v>430</v>
      </c>
      <c r="R11" s="132" t="s">
        <v>324</v>
      </c>
      <c r="S11" s="811" t="s">
        <v>325</v>
      </c>
      <c r="T11" s="811" t="s">
        <v>326</v>
      </c>
      <c r="U11" s="752" t="s">
        <v>327</v>
      </c>
      <c r="V11" s="132" t="s">
        <v>409</v>
      </c>
      <c r="W11" s="752" t="s">
        <v>410</v>
      </c>
      <c r="X11" s="132" t="s">
        <v>411</v>
      </c>
      <c r="Y11" s="752" t="s">
        <v>410</v>
      </c>
      <c r="Z11" s="132" t="s">
        <v>361</v>
      </c>
      <c r="AA11" s="752" t="s">
        <v>410</v>
      </c>
      <c r="AB11" s="1517"/>
      <c r="AC11" s="1517"/>
      <c r="AD11" s="126" t="s">
        <v>295</v>
      </c>
      <c r="AE11" s="861" t="s">
        <v>296</v>
      </c>
      <c r="AF11" s="682" t="s">
        <v>297</v>
      </c>
      <c r="AG11" s="682" t="s">
        <v>363</v>
      </c>
      <c r="AL11" s="210" t="s">
        <v>280</v>
      </c>
    </row>
    <row r="12" spans="2:38" ht="13.8" x14ac:dyDescent="0.2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3.8" x14ac:dyDescent="0.2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3.8" x14ac:dyDescent="0.2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3.8" x14ac:dyDescent="0.2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3.8" x14ac:dyDescent="0.2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3.8" x14ac:dyDescent="0.2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3.8" x14ac:dyDescent="0.2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3.8" x14ac:dyDescent="0.2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3.8" x14ac:dyDescent="0.2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3.8" x14ac:dyDescent="0.2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3.8" x14ac:dyDescent="0.2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3.8" x14ac:dyDescent="0.2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3.8" x14ac:dyDescent="0.2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3.8" x14ac:dyDescent="0.2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3.8" x14ac:dyDescent="0.2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3.8" x14ac:dyDescent="0.2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3.8" x14ac:dyDescent="0.2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3.8" x14ac:dyDescent="0.2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3.8" x14ac:dyDescent="0.2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3.8" x14ac:dyDescent="0.2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3.8" x14ac:dyDescent="0.2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3.8" x14ac:dyDescent="0.2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3.8" x14ac:dyDescent="0.2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3.8" x14ac:dyDescent="0.2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3.8" x14ac:dyDescent="0.2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3.8" x14ac:dyDescent="0.2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3.8" x14ac:dyDescent="0.2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3.8" x14ac:dyDescent="0.2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3.8" x14ac:dyDescent="0.2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3.8" x14ac:dyDescent="0.2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3.8" x14ac:dyDescent="0.2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3.8" x14ac:dyDescent="0.2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3.8" x14ac:dyDescent="0.2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3.8" x14ac:dyDescent="0.2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3.8" x14ac:dyDescent="0.2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3.8" x14ac:dyDescent="0.2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3.8" x14ac:dyDescent="0.2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3.8" x14ac:dyDescent="0.2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3.8" x14ac:dyDescent="0.2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3.8" x14ac:dyDescent="0.2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3.8" x14ac:dyDescent="0.2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3.8" x14ac:dyDescent="0.2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3.8" x14ac:dyDescent="0.2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3.8" x14ac:dyDescent="0.2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3.8" x14ac:dyDescent="0.2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3.8" x14ac:dyDescent="0.2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3.8" x14ac:dyDescent="0.2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3.8" x14ac:dyDescent="0.2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3.8" x14ac:dyDescent="0.2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3.8" x14ac:dyDescent="0.2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3.8" x14ac:dyDescent="0.2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3.8" x14ac:dyDescent="0.2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3.8" x14ac:dyDescent="0.2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3.8" x14ac:dyDescent="0.2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3.8" x14ac:dyDescent="0.2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3.8" x14ac:dyDescent="0.2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3.8" x14ac:dyDescent="0.2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3.8" x14ac:dyDescent="0.2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3.8" x14ac:dyDescent="0.2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3.8" x14ac:dyDescent="0.2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3.8" x14ac:dyDescent="0.2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3.8" x14ac:dyDescent="0.2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3.8" x14ac:dyDescent="0.2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3.8" x14ac:dyDescent="0.2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3.8" x14ac:dyDescent="0.2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3.8" x14ac:dyDescent="0.2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3.8" x14ac:dyDescent="0.2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3.8" x14ac:dyDescent="0.2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3.8" x14ac:dyDescent="0.2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3.8" x14ac:dyDescent="0.2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3.8" x14ac:dyDescent="0.2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3.8" x14ac:dyDescent="0.2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3.8" x14ac:dyDescent="0.2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3.8" x14ac:dyDescent="0.2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3.8" x14ac:dyDescent="0.2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3.8" x14ac:dyDescent="0.2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3.8" x14ac:dyDescent="0.2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3.8" x14ac:dyDescent="0.2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3.8" x14ac:dyDescent="0.2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3.8" x14ac:dyDescent="0.2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3.8" x14ac:dyDescent="0.2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3.8" x14ac:dyDescent="0.2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3.8" x14ac:dyDescent="0.2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3.8" x14ac:dyDescent="0.2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3.8" x14ac:dyDescent="0.2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3.8" x14ac:dyDescent="0.2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3.8" x14ac:dyDescent="0.2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3.8" x14ac:dyDescent="0.2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3.8" x14ac:dyDescent="0.2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3.8" x14ac:dyDescent="0.2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3.8" x14ac:dyDescent="0.2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3.8" x14ac:dyDescent="0.2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3.8" x14ac:dyDescent="0.2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3.8" x14ac:dyDescent="0.2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3.8" x14ac:dyDescent="0.2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3.8" x14ac:dyDescent="0.2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3.8" x14ac:dyDescent="0.2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3.8" x14ac:dyDescent="0.2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3.8" x14ac:dyDescent="0.2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3.8" x14ac:dyDescent="0.2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3.8" x14ac:dyDescent="0.2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3.8" x14ac:dyDescent="0.2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3.8" x14ac:dyDescent="0.2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3.8" x14ac:dyDescent="0.2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3.8" x14ac:dyDescent="0.2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3.8" x14ac:dyDescent="0.2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3.8" x14ac:dyDescent="0.2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3.8" x14ac:dyDescent="0.2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3.8" x14ac:dyDescent="0.2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3.8" x14ac:dyDescent="0.2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3.8" x14ac:dyDescent="0.2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3.8" x14ac:dyDescent="0.2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3.8" x14ac:dyDescent="0.2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3.8" x14ac:dyDescent="0.2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3.8" x14ac:dyDescent="0.2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3.8" x14ac:dyDescent="0.2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3.8" x14ac:dyDescent="0.2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3.8" x14ac:dyDescent="0.2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3.8" x14ac:dyDescent="0.2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3.8" x14ac:dyDescent="0.2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3.8" x14ac:dyDescent="0.2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3.8" x14ac:dyDescent="0.2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3.8" x14ac:dyDescent="0.2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3.8" x14ac:dyDescent="0.2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3.8" x14ac:dyDescent="0.2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3.8" x14ac:dyDescent="0.2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3.8" x14ac:dyDescent="0.2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3.8" x14ac:dyDescent="0.2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3.8" x14ac:dyDescent="0.2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3.8" x14ac:dyDescent="0.2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3.8" x14ac:dyDescent="0.2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3.8" x14ac:dyDescent="0.2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3.8" x14ac:dyDescent="0.2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3.8" x14ac:dyDescent="0.2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3.8" x14ac:dyDescent="0.2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3.8" x14ac:dyDescent="0.2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3.8" x14ac:dyDescent="0.2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3.8" x14ac:dyDescent="0.2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3.8" x14ac:dyDescent="0.2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3.8" x14ac:dyDescent="0.2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3.8" x14ac:dyDescent="0.2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3.8" x14ac:dyDescent="0.2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3.8" x14ac:dyDescent="0.2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3.8" x14ac:dyDescent="0.2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3.8" x14ac:dyDescent="0.2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3.8" x14ac:dyDescent="0.2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3.8" x14ac:dyDescent="0.2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3.8" x14ac:dyDescent="0.2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3.8" x14ac:dyDescent="0.2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3.8" x14ac:dyDescent="0.2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3.8" x14ac:dyDescent="0.2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3.8" x14ac:dyDescent="0.2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3.8" x14ac:dyDescent="0.2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3.8" x14ac:dyDescent="0.2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3.8" x14ac:dyDescent="0.2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3.8" x14ac:dyDescent="0.2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3.8" x14ac:dyDescent="0.2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3.8" x14ac:dyDescent="0.2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3.8" x14ac:dyDescent="0.2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3.8" x14ac:dyDescent="0.2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3.8" x14ac:dyDescent="0.2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3.8" x14ac:dyDescent="0.2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3.8" x14ac:dyDescent="0.2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3.8" x14ac:dyDescent="0.2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3.8" x14ac:dyDescent="0.2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3.8" x14ac:dyDescent="0.2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3.8" x14ac:dyDescent="0.2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3.8" x14ac:dyDescent="0.2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3.8" x14ac:dyDescent="0.2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3.8" x14ac:dyDescent="0.2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3.8" x14ac:dyDescent="0.2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3.8" x14ac:dyDescent="0.2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3.8" x14ac:dyDescent="0.2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3.8" x14ac:dyDescent="0.2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3.8" x14ac:dyDescent="0.2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3.8" x14ac:dyDescent="0.2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3.8" x14ac:dyDescent="0.2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3.8" x14ac:dyDescent="0.2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3.8" x14ac:dyDescent="0.2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3.8" x14ac:dyDescent="0.2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3.8" x14ac:dyDescent="0.2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3.8" x14ac:dyDescent="0.2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3.8" x14ac:dyDescent="0.2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3.8" x14ac:dyDescent="0.2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3.8" x14ac:dyDescent="0.2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3.8" x14ac:dyDescent="0.2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3.8" x14ac:dyDescent="0.2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3.8" x14ac:dyDescent="0.2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3.8" x14ac:dyDescent="0.2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3.8" x14ac:dyDescent="0.2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3.8" x14ac:dyDescent="0.2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3.8" x14ac:dyDescent="0.2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3.8" x14ac:dyDescent="0.2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3.8" x14ac:dyDescent="0.2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3.8" x14ac:dyDescent="0.2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3.8" x14ac:dyDescent="0.2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3.8" x14ac:dyDescent="0.2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3.8" x14ac:dyDescent="0.2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3.8" x14ac:dyDescent="0.2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3.8" x14ac:dyDescent="0.2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3.8" x14ac:dyDescent="0.2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3.8" x14ac:dyDescent="0.2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3.8" x14ac:dyDescent="0.2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3.8" x14ac:dyDescent="0.2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3.8" x14ac:dyDescent="0.2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3.8" x14ac:dyDescent="0.2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3.8" x14ac:dyDescent="0.2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3.8" x14ac:dyDescent="0.2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3.8" x14ac:dyDescent="0.2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3.8" x14ac:dyDescent="0.2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3.8" x14ac:dyDescent="0.2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3.8" x14ac:dyDescent="0.2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3.8" x14ac:dyDescent="0.2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3.8" x14ac:dyDescent="0.2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3.8" x14ac:dyDescent="0.2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3.8" x14ac:dyDescent="0.2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3.8" x14ac:dyDescent="0.2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3.8" x14ac:dyDescent="0.2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3.8" x14ac:dyDescent="0.2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3.8" x14ac:dyDescent="0.2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3.8" x14ac:dyDescent="0.2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3.8" x14ac:dyDescent="0.2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3.8" x14ac:dyDescent="0.2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3.8" x14ac:dyDescent="0.2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3.8" x14ac:dyDescent="0.2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3.8" x14ac:dyDescent="0.2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3.8" x14ac:dyDescent="0.2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3.8" x14ac:dyDescent="0.2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3.8" x14ac:dyDescent="0.2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3.8" x14ac:dyDescent="0.2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3.8" x14ac:dyDescent="0.2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3.8" x14ac:dyDescent="0.2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3.8" x14ac:dyDescent="0.2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3.8" x14ac:dyDescent="0.2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3.8" x14ac:dyDescent="0.2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3.8" x14ac:dyDescent="0.2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3.8" x14ac:dyDescent="0.2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3.8" x14ac:dyDescent="0.2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3.8" x14ac:dyDescent="0.2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3.8" x14ac:dyDescent="0.2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3.8" x14ac:dyDescent="0.2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3.8" x14ac:dyDescent="0.2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3.8" x14ac:dyDescent="0.2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3.8" x14ac:dyDescent="0.2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3.8" x14ac:dyDescent="0.2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3.8" x14ac:dyDescent="0.2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3.8" x14ac:dyDescent="0.2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4.4" thickBot="1" x14ac:dyDescent="0.3">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4.4" thickBot="1" x14ac:dyDescent="0.3">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6"/>
      <c r="AA260" s="1617"/>
      <c r="AB260" s="366">
        <f>SUM(AB12:AB259)</f>
        <v>0</v>
      </c>
      <c r="AC260" s="366">
        <f>SUM(AC12:AC259)</f>
        <v>0</v>
      </c>
      <c r="AD260" s="34"/>
      <c r="AE260" s="34"/>
    </row>
    <row r="261" spans="2:38" ht="28.95" customHeight="1" x14ac:dyDescent="0.25"/>
    <row r="262" spans="2:38" ht="27" customHeight="1" x14ac:dyDescent="0.25"/>
    <row r="263" spans="2:38" ht="13.8" x14ac:dyDescent="0.25"/>
    <row r="264" spans="2:38" ht="13.8" x14ac:dyDescent="0.25"/>
    <row r="265" spans="2:38" ht="13.8" x14ac:dyDescent="0.25"/>
    <row r="266" spans="2:38" ht="13.8" x14ac:dyDescent="0.25"/>
    <row r="267" spans="2:38" ht="13.8" x14ac:dyDescent="0.25"/>
    <row r="268" spans="2:38" ht="13.8" x14ac:dyDescent="0.25"/>
    <row r="269" spans="2:38" ht="13.8" hidden="1" x14ac:dyDescent="0.25"/>
    <row r="270" spans="2:38" ht="13.8" hidden="1" x14ac:dyDescent="0.25"/>
    <row r="271" spans="2:38" ht="13.8" hidden="1" x14ac:dyDescent="0.25"/>
    <row r="272" spans="2:38" ht="13.8" hidden="1" x14ac:dyDescent="0.25"/>
    <row r="273" ht="13.8" hidden="1" x14ac:dyDescent="0.25"/>
    <row r="274" ht="13.8" hidden="1" x14ac:dyDescent="0.25"/>
    <row r="275" ht="13.8" hidden="1" x14ac:dyDescent="0.25"/>
    <row r="1048576" ht="13.8" x14ac:dyDescent="0.25"/>
  </sheetData>
  <sheetProtection algorithmName="SHA-512" hashValue="mziT3SBBGX3rENj20OhwcFpNzM/VosHh2cw45D/DQPd+7O4pGyHpDoErMoF0tMlz7fc/raPomEah3WnR1Y0opQ==" saltValue="AckNxpmHP+Qn9BvvV1syy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 ref="AC10:AC11"/>
    <mergeCell ref="P2:U6"/>
    <mergeCell ref="F4:K4"/>
    <mergeCell ref="F3:K3"/>
    <mergeCell ref="F2:O2"/>
    <mergeCell ref="V2:AB5"/>
    <mergeCell ref="F5:K5"/>
    <mergeCell ref="L5:O5"/>
  </mergeCells>
  <conditionalFormatting sqref="H12:H259">
    <cfRule type="beginsWith" dxfId="54" priority="23" operator="beginsWith" text="Not Possible">
      <formula>LEFT(H12,LEN("Not Possible"))="Not Possible"</formula>
    </cfRule>
  </conditionalFormatting>
  <conditionalFormatting sqref="J12:K259">
    <cfRule type="containsText" dxfId="53" priority="22" operator="containsText" text="Spatial">
      <formula>NOT(ISERROR(SEARCH("Spatial",J12)))</formula>
    </cfRule>
  </conditionalFormatting>
  <conditionalFormatting sqref="O12:AB259">
    <cfRule type="containsText" dxfId="52" priority="20" operator="containsText" text="Check">
      <formula>NOT(ISERROR(SEARCH("Check",O12)))</formula>
    </cfRule>
    <cfRule type="containsText" dxfId="51" priority="21" operator="containsText" text="Error">
      <formula>NOT(ISERROR(SEARCH("Error",O12)))</formula>
    </cfRule>
  </conditionalFormatting>
  <conditionalFormatting sqref="L12:Q259">
    <cfRule type="containsText" dxfId="50" priority="19" operator="containsText" text="30+">
      <formula>NOT(ISERROR(SEARCH("30+",L12)))</formula>
    </cfRule>
  </conditionalFormatting>
  <conditionalFormatting sqref="L6:O6 P2">
    <cfRule type="containsText" dxfId="49" priority="18" operator="containsText" text="Note">
      <formula>NOT(ISERROR(SEARCH("Note",L2)))</formula>
    </cfRule>
  </conditionalFormatting>
  <conditionalFormatting sqref="W12:Y259">
    <cfRule type="containsText" dxfId="48" priority="17" operator="containsText" text="Spatial">
      <formula>NOT(ISERROR(SEARCH("Spatial",W12)))</formula>
    </cfRule>
  </conditionalFormatting>
  <conditionalFormatting sqref="L3">
    <cfRule type="containsText" dxfId="47" priority="15" operator="containsText" text="Error">
      <formula>NOT(ISERROR(SEARCH("Error",L3)))</formula>
    </cfRule>
    <cfRule type="containsText" dxfId="46" priority="16" operator="containsText" text="Check">
      <formula>NOT(ISERROR(SEARCH("Check",L3)))</formula>
    </cfRule>
  </conditionalFormatting>
  <conditionalFormatting sqref="L4">
    <cfRule type="containsText" dxfId="45" priority="3" operator="containsText" text="Error">
      <formula>NOT(ISERROR(SEARCH("Error",L4)))</formula>
    </cfRule>
    <cfRule type="containsText" dxfId="44" priority="4" operator="containsText" text="Check">
      <formula>NOT(ISERROR(SEARCH("Check",L4)))</formula>
    </cfRule>
  </conditionalFormatting>
  <conditionalFormatting sqref="V2:AC5">
    <cfRule type="containsText" dxfId="43" priority="10" operator="containsText" text="Check">
      <formula>NOT(ISERROR(SEARCH("Check",V2)))</formula>
    </cfRule>
  </conditionalFormatting>
  <conditionalFormatting sqref="L5">
    <cfRule type="containsText" dxfId="42" priority="8" operator="containsText" text="No">
      <formula>NOT(ISERROR(SEARCH("No",L5)))</formula>
    </cfRule>
    <cfRule type="containsText" dxfId="41" priority="9" operator="containsText" text="Yes">
      <formula>NOT(ISERROR(SEARCH("Yes",L5)))</formula>
    </cfRule>
  </conditionalFormatting>
  <conditionalFormatting sqref="AC12:AC259">
    <cfRule type="containsText" dxfId="40" priority="6" operator="containsText" text="Check">
      <formula>NOT(ISERROR(SEARCH("Check",AC12)))</formula>
    </cfRule>
    <cfRule type="containsText" dxfId="39" priority="7" operator="containsText" text="Error">
      <formula>NOT(ISERROR(SEARCH("Error",AC12)))</formula>
    </cfRule>
  </conditionalFormatting>
  <conditionalFormatting sqref="L4:O4">
    <cfRule type="cellIs" dxfId="38" priority="2" operator="equal">
      <formula>0</formula>
    </cfRule>
    <cfRule type="cellIs" dxfId="37" priority="5" operator="lessThan">
      <formula>0</formula>
    </cfRule>
  </conditionalFormatting>
  <conditionalFormatting sqref="L3:O5">
    <cfRule type="containsText" dxfId="36" priority="1" operator="containsText" text="N/A">
      <formula>NOT(ISERROR(SEARCH("N/A",L3)))</formula>
    </cfRule>
  </conditionalFormatting>
  <dataValidations count="3">
    <dataValidation type="list" allowBlank="1" showInputMessage="1" showErrorMessage="1" sqref="G12:G259" xr:uid="{00000000-0002-0000-1A00-000000000000}">
      <formula1>INDIRECT(AL12)</formula1>
    </dataValidation>
    <dataValidation type="list" allowBlank="1" showInputMessage="1" showErrorMessage="1" sqref="V12:V259" xr:uid="{B9E38A8A-4494-46AA-9B48-FD2F298A6BB3}">
      <formula1>IF(C12="Culvert",riparianencroachment2,riparianencroachment1)</formula1>
    </dataValidation>
    <dataValidation type="list" allowBlank="1" showInputMessage="1" showErrorMessage="1" sqref="X12:X259" xr:uid="{DB13BF56-4025-47E2-BB14-DA90DCFAD74B}">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2" operator="lessThan" id="{ACB35EB0-74C0-41D6-8DE8-9B58D5CE6B24}">
            <xm:f>Start!$F$22</xm:f>
            <x14:dxf>
              <font>
                <color rgb="FF383745"/>
              </font>
              <fill>
                <patternFill>
                  <bgColor rgb="FFFFC000"/>
                </patternFill>
              </fill>
            </x14:dxf>
          </x14:cfRule>
          <x14:cfRule type="cellIs" priority="453"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A00-000005000000}">
          <x14:formula1>
            <xm:f>'G-7 WaterC'' Data'!$B$4:$B$8</xm:f>
          </x14:formula1>
          <xm:sqref>C12:C259</xm:sqref>
        </x14:dataValidation>
        <x14:dataValidation type="list" allowBlank="1" showInputMessage="1" showErrorMessage="1" xr:uid="{0A5A6F42-44F0-42E1-AC5E-749B8C41A7EC}">
          <x14:formula1>
            <xm:f>IF(C12="Culvert",'G-7 WaterC'' Data'!$AK$6,'G-7 WaterC'' Data'!$AK$4:$AK$6)</xm:f>
          </x14:formula1>
          <xm:sqref>I12:I259</xm:sqref>
        </x14:dataValidation>
        <x14:dataValidation type="list" allowBlank="1" showInputMessage="1" showErrorMessage="1" xr:uid="{00000000-0002-0000-1A00-000006000000}">
          <x14:formula1>
            <xm:f>'G-4 Temporal multipliers'!$A$42:$A$73</xm:f>
          </x14:formula1>
          <xm:sqref>M12:N259</xm:sqref>
        </x14:dataValidation>
        <x14:dataValidation type="list" allowBlank="1" showInputMessage="1" showErrorMessage="1" xr:uid="{8760A304-9E21-4FEF-81C8-8174AF784153}">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showRowColHeaders="0" zoomScale="80" zoomScaleNormal="80" workbookViewId="0"/>
  </sheetViews>
  <sheetFormatPr defaultColWidth="0" defaultRowHeight="14.55" customHeight="1" zeroHeight="1" x14ac:dyDescent="0.3"/>
  <cols>
    <col min="1" max="3" width="2.21875" style="9" customWidth="1"/>
    <col min="4" max="4" width="18.77734375" style="9" customWidth="1"/>
    <col min="5" max="8" width="9.21875" style="9" customWidth="1"/>
    <col min="9" max="9" width="7" style="9" customWidth="1"/>
    <col min="10" max="12" width="9.21875" style="9" customWidth="1"/>
    <col min="13" max="13" width="12.21875" style="9" customWidth="1"/>
    <col min="14" max="14" width="5.77734375" style="9" customWidth="1"/>
    <col min="15" max="15" width="14.5546875" style="9" customWidth="1"/>
    <col min="16" max="16" width="14" style="9" customWidth="1"/>
    <col min="17" max="17" width="13.77734375" style="9" bestFit="1" customWidth="1"/>
    <col min="18" max="18" width="19.21875" style="9" customWidth="1"/>
    <col min="19" max="26" width="9.21875" style="9" customWidth="1"/>
    <col min="27" max="16384" width="9.21875" style="9" hidden="1"/>
  </cols>
  <sheetData>
    <row r="1" spans="1:18" ht="15.75" customHeight="1" x14ac:dyDescent="0.6">
      <c r="B1" s="16"/>
      <c r="C1" s="16"/>
      <c r="E1" s="17"/>
      <c r="F1" s="981"/>
      <c r="G1" s="981"/>
      <c r="H1" s="981"/>
      <c r="I1" s="981"/>
      <c r="J1" s="981"/>
      <c r="K1" s="982"/>
      <c r="L1" s="982"/>
      <c r="M1" s="982"/>
      <c r="N1" s="982"/>
      <c r="O1" s="982"/>
    </row>
    <row r="2" spans="1:18" ht="15.75" customHeight="1" x14ac:dyDescent="0.6">
      <c r="B2" s="16"/>
      <c r="C2" s="16"/>
      <c r="E2" s="17"/>
    </row>
    <row r="3" spans="1:18" ht="15.75" customHeight="1" x14ac:dyDescent="0.6">
      <c r="A3" s="17"/>
      <c r="B3" s="17"/>
      <c r="C3" s="17"/>
      <c r="D3" s="17"/>
      <c r="E3" s="17"/>
      <c r="F3" s="18"/>
      <c r="G3" s="18"/>
      <c r="H3" s="18"/>
      <c r="I3" s="18"/>
      <c r="J3" s="18"/>
      <c r="K3" s="18"/>
      <c r="L3" s="18"/>
      <c r="M3" s="18"/>
      <c r="N3" s="18"/>
      <c r="O3" s="18"/>
      <c r="P3" s="18"/>
    </row>
    <row r="4" spans="1:18" ht="16.5" customHeight="1" x14ac:dyDescent="0.6">
      <c r="A4" s="17"/>
      <c r="B4" s="17"/>
      <c r="C4" s="17"/>
      <c r="D4" s="17"/>
      <c r="E4" s="17"/>
      <c r="F4" s="18"/>
      <c r="G4" s="18"/>
      <c r="H4" s="18"/>
      <c r="I4" s="18"/>
      <c r="J4" s="18"/>
      <c r="K4" s="18"/>
      <c r="L4" s="18"/>
      <c r="M4" s="18"/>
      <c r="N4" s="18"/>
      <c r="O4" s="18"/>
      <c r="P4" s="18"/>
    </row>
    <row r="5" spans="1:18" ht="16.5" customHeight="1" x14ac:dyDescent="0.6">
      <c r="A5" s="17"/>
      <c r="B5" s="17"/>
      <c r="C5" s="17"/>
      <c r="D5" s="17"/>
      <c r="E5" s="17"/>
      <c r="F5" s="19"/>
      <c r="G5" s="19"/>
      <c r="H5" s="19"/>
      <c r="I5" s="19"/>
      <c r="J5" s="19"/>
      <c r="K5" s="19"/>
      <c r="L5" s="19"/>
      <c r="M5" s="19"/>
      <c r="N5" s="19"/>
      <c r="O5" s="19"/>
      <c r="P5" s="19"/>
      <c r="Q5" s="19"/>
      <c r="R5" s="19"/>
    </row>
    <row r="6" spans="1:18" ht="16.5" customHeight="1" x14ac:dyDescent="0.6">
      <c r="B6" s="16"/>
      <c r="C6" s="16"/>
      <c r="D6" s="17"/>
      <c r="E6" s="17"/>
      <c r="F6" s="19"/>
      <c r="G6" s="19"/>
      <c r="H6" s="19"/>
      <c r="I6" s="19"/>
      <c r="J6" s="19"/>
      <c r="K6" s="19"/>
      <c r="L6" s="19"/>
      <c r="M6" s="19"/>
      <c r="N6" s="19"/>
      <c r="O6" s="19"/>
      <c r="P6" s="19"/>
      <c r="Q6" s="19"/>
      <c r="R6" s="19"/>
    </row>
    <row r="7" spans="1:18" ht="16.5" customHeight="1" x14ac:dyDescent="0.6">
      <c r="B7" s="16"/>
      <c r="C7" s="17"/>
      <c r="D7" s="17"/>
      <c r="E7" s="17"/>
      <c r="F7" s="19"/>
      <c r="G7" s="19"/>
      <c r="H7" s="19"/>
      <c r="I7" s="19"/>
      <c r="J7" s="19"/>
      <c r="K7" s="19"/>
      <c r="L7" s="19"/>
      <c r="M7" s="19"/>
      <c r="N7" s="19"/>
      <c r="O7" s="19"/>
      <c r="P7" s="19"/>
      <c r="Q7" s="19"/>
      <c r="R7" s="19"/>
    </row>
    <row r="8" spans="1:18" ht="16.5" customHeight="1" x14ac:dyDescent="0.6">
      <c r="B8" s="16"/>
      <c r="C8" s="16"/>
      <c r="D8" s="17"/>
      <c r="E8" s="17"/>
      <c r="F8" s="19"/>
      <c r="G8" s="19"/>
      <c r="H8" s="19"/>
      <c r="I8" s="19"/>
      <c r="J8" s="19"/>
      <c r="K8" s="19"/>
      <c r="L8" s="19"/>
      <c r="M8" s="19"/>
      <c r="N8" s="19"/>
      <c r="O8" s="19"/>
      <c r="P8" s="19"/>
      <c r="Q8" s="19"/>
      <c r="R8" s="19"/>
    </row>
    <row r="9" spans="1:18" ht="16.5" customHeight="1" x14ac:dyDescent="0.3">
      <c r="B9" s="16"/>
      <c r="C9" s="16"/>
      <c r="D9" s="20"/>
      <c r="E9" s="20"/>
      <c r="F9" s="19"/>
      <c r="G9" s="19"/>
      <c r="H9" s="19"/>
      <c r="I9" s="19"/>
      <c r="J9" s="19"/>
      <c r="K9" s="19"/>
      <c r="L9" s="19"/>
      <c r="M9" s="19"/>
      <c r="N9" s="19"/>
      <c r="O9" s="19"/>
      <c r="P9" s="19"/>
      <c r="Q9" s="19"/>
      <c r="R9" s="19"/>
    </row>
    <row r="10" spans="1:18" ht="30" customHeight="1" x14ac:dyDescent="0.4">
      <c r="B10" s="16"/>
      <c r="C10" s="16"/>
      <c r="D10" s="8"/>
      <c r="E10" s="8"/>
      <c r="F10" s="8"/>
      <c r="G10" s="983"/>
      <c r="H10" s="983"/>
      <c r="I10" s="983"/>
      <c r="J10" s="983"/>
      <c r="K10" s="983"/>
      <c r="L10" s="983"/>
      <c r="M10" s="983"/>
      <c r="N10" s="983"/>
      <c r="O10" s="983"/>
    </row>
    <row r="11" spans="1:18" ht="16.5" customHeight="1" x14ac:dyDescent="0.3">
      <c r="B11" s="16"/>
      <c r="C11" s="16"/>
    </row>
    <row r="12" spans="1:18" ht="16.5" customHeight="1" x14ac:dyDescent="0.3">
      <c r="B12" s="16"/>
      <c r="C12" s="16"/>
    </row>
    <row r="13" spans="1:18" ht="16.5" customHeight="1" x14ac:dyDescent="0.3">
      <c r="B13" s="16"/>
      <c r="C13" s="16"/>
    </row>
    <row r="14" spans="1:18" ht="16.5" customHeight="1" x14ac:dyDescent="0.3">
      <c r="B14" s="16"/>
      <c r="C14" s="16"/>
    </row>
    <row r="15" spans="1:18" ht="16.5" customHeight="1" x14ac:dyDescent="0.3">
      <c r="B15" s="16"/>
      <c r="C15" s="16"/>
    </row>
    <row r="16" spans="1:18" ht="16.5" customHeight="1" x14ac:dyDescent="0.3">
      <c r="B16" s="16"/>
      <c r="C16" s="16"/>
    </row>
    <row r="17" spans="2:3" ht="16.5" customHeight="1" x14ac:dyDescent="0.3">
      <c r="B17" s="16"/>
      <c r="C17" s="16"/>
    </row>
    <row r="18" spans="2:3" ht="16.5" customHeight="1" x14ac:dyDescent="0.3">
      <c r="B18" s="16"/>
      <c r="C18" s="16"/>
    </row>
    <row r="19" spans="2:3" ht="16.5" customHeight="1" x14ac:dyDescent="0.3">
      <c r="B19" s="16"/>
      <c r="C19" s="16"/>
    </row>
    <row r="20" spans="2:3" ht="16.5" customHeight="1" x14ac:dyDescent="0.3">
      <c r="B20" s="16"/>
      <c r="C20" s="16"/>
    </row>
    <row r="21" spans="2:3" ht="16.5" customHeight="1" x14ac:dyDescent="0.3">
      <c r="B21" s="16"/>
      <c r="C21" s="16"/>
    </row>
    <row r="22" spans="2:3" ht="16.5" customHeight="1" x14ac:dyDescent="0.3">
      <c r="B22" s="16"/>
      <c r="C22" s="16"/>
    </row>
    <row r="23" spans="2:3" ht="16.5" customHeight="1" x14ac:dyDescent="0.3">
      <c r="B23" s="16"/>
      <c r="C23" s="16"/>
    </row>
    <row r="24" spans="2:3" ht="16.5" customHeight="1" x14ac:dyDescent="0.3">
      <c r="B24" s="16"/>
      <c r="C24" s="16"/>
    </row>
    <row r="25" spans="2:3" ht="16.5" customHeight="1" x14ac:dyDescent="0.3">
      <c r="B25" s="16"/>
      <c r="C25" s="16"/>
    </row>
    <row r="26" spans="2:3" ht="16.5" customHeight="1" x14ac:dyDescent="0.3">
      <c r="B26" s="16"/>
      <c r="C26" s="16"/>
    </row>
    <row r="27" spans="2:3" ht="16.5" customHeight="1" x14ac:dyDescent="0.3">
      <c r="B27" s="16"/>
      <c r="C27" s="16"/>
    </row>
    <row r="28" spans="2:3" ht="16.5" customHeight="1" x14ac:dyDescent="0.3">
      <c r="B28" s="16"/>
      <c r="C28" s="16"/>
    </row>
    <row r="29" spans="2:3" ht="16.5" customHeight="1" x14ac:dyDescent="0.3">
      <c r="B29" s="16"/>
      <c r="C29" s="16"/>
    </row>
    <row r="30" spans="2:3" ht="16.5" customHeight="1" x14ac:dyDescent="0.3">
      <c r="B30" s="16"/>
      <c r="C30" s="16"/>
    </row>
    <row r="31" spans="2:3" ht="16.5" customHeight="1" x14ac:dyDescent="0.3">
      <c r="B31" s="16"/>
      <c r="C31" s="16"/>
    </row>
    <row r="32" spans="2:3" ht="16.5" customHeight="1" x14ac:dyDescent="0.3">
      <c r="B32" s="16"/>
      <c r="C32" s="16"/>
    </row>
    <row r="33" spans="2:3" ht="16.5" customHeight="1" x14ac:dyDescent="0.3">
      <c r="B33" s="16"/>
      <c r="C33" s="16"/>
    </row>
    <row r="34" spans="2:3" ht="16.5" customHeight="1" x14ac:dyDescent="0.3">
      <c r="B34" s="16"/>
      <c r="C34" s="16"/>
    </row>
    <row r="35" spans="2:3" ht="16.5" customHeight="1" x14ac:dyDescent="0.3">
      <c r="B35" s="16"/>
      <c r="C35" s="16"/>
    </row>
    <row r="36" spans="2:3" ht="16.5" customHeight="1" x14ac:dyDescent="0.3">
      <c r="B36" s="16"/>
      <c r="C36" s="16"/>
    </row>
    <row r="37" spans="2:3" ht="16.5" customHeight="1" x14ac:dyDescent="0.3">
      <c r="B37" s="16"/>
      <c r="C37" s="16"/>
    </row>
    <row r="38" spans="2:3" ht="16.5" customHeight="1" x14ac:dyDescent="0.3">
      <c r="B38" s="16"/>
      <c r="C38" s="16"/>
    </row>
    <row r="39" spans="2:3" ht="16.5" customHeight="1" x14ac:dyDescent="0.3">
      <c r="B39" s="16"/>
      <c r="C39" s="16"/>
    </row>
    <row r="40" spans="2:3" ht="16.5" customHeight="1" x14ac:dyDescent="0.3">
      <c r="B40" s="16"/>
      <c r="C40" s="16"/>
    </row>
    <row r="41" spans="2:3" ht="16.5" customHeight="1" x14ac:dyDescent="0.3">
      <c r="B41" s="16"/>
      <c r="C41" s="16"/>
    </row>
    <row r="42" spans="2:3" ht="16.5" customHeight="1" x14ac:dyDescent="0.3">
      <c r="B42" s="16"/>
      <c r="C42" s="16"/>
    </row>
    <row r="43" spans="2:3" ht="16.5" customHeight="1" x14ac:dyDescent="0.3">
      <c r="B43" s="16"/>
      <c r="C43" s="16"/>
    </row>
    <row r="44" spans="2:3" ht="16.5" customHeight="1" x14ac:dyDescent="0.3">
      <c r="B44" s="16"/>
      <c r="C44" s="16"/>
    </row>
    <row r="45" spans="2:3" ht="16.5" customHeight="1" x14ac:dyDescent="0.3">
      <c r="B45" s="16"/>
      <c r="C45" s="16"/>
    </row>
    <row r="46" spans="2:3" ht="16.5" customHeight="1" x14ac:dyDescent="0.3">
      <c r="B46" s="16"/>
      <c r="C46" s="16"/>
    </row>
    <row r="47" spans="2:3" ht="16.5" customHeight="1" x14ac:dyDescent="0.3">
      <c r="B47" s="16"/>
      <c r="C47" s="16"/>
    </row>
    <row r="48" spans="2:3" ht="16.5" customHeight="1" x14ac:dyDescent="0.3">
      <c r="B48" s="16"/>
      <c r="C48" s="16"/>
    </row>
    <row r="49" spans="2:3" ht="16.5" customHeight="1" x14ac:dyDescent="0.3">
      <c r="B49" s="16"/>
      <c r="C49" s="16"/>
    </row>
    <row r="50" spans="2:3" ht="16.5" customHeight="1" x14ac:dyDescent="0.3">
      <c r="B50" s="16"/>
      <c r="C50" s="16"/>
    </row>
    <row r="51" spans="2:3" ht="16.5" customHeight="1" x14ac:dyDescent="0.3">
      <c r="B51" s="16"/>
      <c r="C51" s="16"/>
    </row>
    <row r="52" spans="2:3" ht="16.5" customHeight="1" x14ac:dyDescent="0.3">
      <c r="B52" s="16"/>
      <c r="C52" s="16"/>
    </row>
    <row r="53" spans="2:3" ht="16.5" customHeight="1" x14ac:dyDescent="0.3">
      <c r="B53" s="16"/>
      <c r="C53" s="16"/>
    </row>
    <row r="54" spans="2:3" ht="16.5" customHeight="1" x14ac:dyDescent="0.3">
      <c r="B54" s="16"/>
      <c r="C54" s="16"/>
    </row>
    <row r="55" spans="2:3" ht="16.5" customHeight="1" x14ac:dyDescent="0.3">
      <c r="B55" s="16"/>
      <c r="C55" s="16"/>
    </row>
    <row r="56" spans="2:3" ht="16.5" customHeight="1" x14ac:dyDescent="0.3">
      <c r="B56" s="16"/>
      <c r="C56" s="16"/>
    </row>
    <row r="57" spans="2:3" ht="16.5" customHeight="1" x14ac:dyDescent="0.3">
      <c r="B57" s="16"/>
      <c r="C57" s="16"/>
    </row>
    <row r="58" spans="2:3" ht="16.5" customHeight="1" x14ac:dyDescent="0.3">
      <c r="B58" s="16"/>
      <c r="C58" s="16"/>
    </row>
    <row r="59" spans="2:3" ht="16.5" customHeight="1" x14ac:dyDescent="0.3">
      <c r="B59" s="16"/>
      <c r="C59" s="16"/>
    </row>
    <row r="60" spans="2:3" ht="16.5" hidden="1" customHeight="1" x14ac:dyDescent="0.3">
      <c r="B60" s="16"/>
      <c r="C60" s="16"/>
    </row>
    <row r="61" spans="2:3" ht="16.5" hidden="1" customHeight="1" x14ac:dyDescent="0.3">
      <c r="B61" s="16"/>
      <c r="C61" s="16"/>
    </row>
    <row r="62" spans="2:3" ht="16.5" hidden="1" customHeight="1" x14ac:dyDescent="0.3">
      <c r="B62" s="16"/>
      <c r="C62" s="16"/>
    </row>
    <row r="63" spans="2:3" ht="16.5" hidden="1" customHeight="1" x14ac:dyDescent="0.3">
      <c r="B63" s="16"/>
      <c r="C63" s="16"/>
    </row>
    <row r="64" spans="2:3" ht="16.5" hidden="1" customHeight="1" x14ac:dyDescent="0.3">
      <c r="B64" s="16"/>
      <c r="C64" s="16"/>
    </row>
    <row r="65" spans="2:3" ht="16.5" hidden="1" customHeight="1" x14ac:dyDescent="0.3">
      <c r="B65" s="16"/>
      <c r="C65" s="16"/>
    </row>
    <row r="66" spans="2:3" ht="16.5" hidden="1" customHeight="1" x14ac:dyDescent="0.3">
      <c r="B66" s="16"/>
      <c r="C66" s="16"/>
    </row>
    <row r="67" spans="2:3" ht="16.5" hidden="1" customHeight="1" x14ac:dyDescent="0.3">
      <c r="B67" s="16"/>
      <c r="C67" s="16"/>
    </row>
    <row r="68" spans="2:3" ht="16.5" hidden="1" customHeight="1" x14ac:dyDescent="0.3">
      <c r="B68" s="16"/>
      <c r="C68" s="16"/>
    </row>
    <row r="69" spans="2:3" ht="16.5" hidden="1" customHeight="1" x14ac:dyDescent="0.3">
      <c r="B69" s="16"/>
      <c r="C69" s="16"/>
    </row>
    <row r="70" spans="2:3" ht="16.5" hidden="1" customHeight="1" x14ac:dyDescent="0.3">
      <c r="B70" s="16"/>
      <c r="C70" s="16"/>
    </row>
    <row r="71" spans="2:3" ht="16.5" hidden="1" customHeight="1" x14ac:dyDescent="0.3">
      <c r="B71" s="16"/>
      <c r="C71" s="16"/>
    </row>
    <row r="72" spans="2:3" ht="16.5" hidden="1" customHeight="1" x14ac:dyDescent="0.3">
      <c r="B72" s="16"/>
      <c r="C72" s="16"/>
    </row>
    <row r="73" spans="2:3" ht="16.5" hidden="1" customHeight="1" x14ac:dyDescent="0.3">
      <c r="B73" s="16"/>
      <c r="C73" s="16"/>
    </row>
    <row r="74" spans="2:3" ht="16.5" hidden="1" customHeight="1" x14ac:dyDescent="0.3">
      <c r="B74" s="16"/>
      <c r="C74" s="16"/>
    </row>
    <row r="75" spans="2:3" ht="16.5" hidden="1" customHeight="1" x14ac:dyDescent="0.3">
      <c r="B75" s="16"/>
      <c r="C75" s="16"/>
    </row>
    <row r="76" spans="2:3" ht="16.5" hidden="1" customHeight="1" x14ac:dyDescent="0.3">
      <c r="B76" s="16"/>
      <c r="C76" s="16"/>
    </row>
    <row r="77" spans="2:3" ht="16.5" hidden="1" customHeight="1" x14ac:dyDescent="0.3">
      <c r="B77" s="16"/>
      <c r="C77" s="16"/>
    </row>
    <row r="78" spans="2:3" ht="16.5" hidden="1" customHeight="1" x14ac:dyDescent="0.3">
      <c r="B78" s="16"/>
      <c r="C78" s="16"/>
    </row>
    <row r="79" spans="2:3" ht="16.5" hidden="1" customHeight="1" x14ac:dyDescent="0.3">
      <c r="B79" s="16"/>
      <c r="C79" s="16"/>
    </row>
    <row r="80" spans="2:3" ht="16.5" hidden="1" customHeight="1" x14ac:dyDescent="0.3">
      <c r="B80" s="16"/>
      <c r="C80" s="16"/>
    </row>
    <row r="81" spans="2:3" ht="16.5" hidden="1" customHeight="1" x14ac:dyDescent="0.3">
      <c r="B81" s="16"/>
      <c r="C81" s="16"/>
    </row>
    <row r="82" spans="2:3" ht="16.5" hidden="1" customHeight="1" x14ac:dyDescent="0.3">
      <c r="B82" s="16"/>
      <c r="C82" s="16"/>
    </row>
    <row r="83" spans="2:3" ht="16.5" hidden="1" customHeight="1" x14ac:dyDescent="0.3">
      <c r="B83" s="16"/>
      <c r="C83" s="16"/>
    </row>
    <row r="84" spans="2:3" ht="16.5" hidden="1" customHeight="1" x14ac:dyDescent="0.3">
      <c r="B84" s="16"/>
      <c r="C84" s="16"/>
    </row>
    <row r="85" spans="2:3" ht="16.5" hidden="1" customHeight="1" x14ac:dyDescent="0.3">
      <c r="B85" s="16"/>
      <c r="C85" s="16"/>
    </row>
    <row r="86" spans="2:3" ht="16.5" hidden="1" customHeight="1" x14ac:dyDescent="0.3">
      <c r="B86" s="16"/>
      <c r="C86" s="16"/>
    </row>
    <row r="87" spans="2:3" ht="16.5" hidden="1" customHeight="1" x14ac:dyDescent="0.3">
      <c r="B87" s="16"/>
      <c r="C87" s="16"/>
    </row>
    <row r="88" spans="2:3" ht="16.5" hidden="1" customHeight="1" x14ac:dyDescent="0.3">
      <c r="B88" s="16"/>
      <c r="C88" s="16"/>
    </row>
    <row r="89" spans="2:3" ht="16.5" hidden="1" customHeight="1" x14ac:dyDescent="0.3">
      <c r="B89" s="16"/>
      <c r="C89" s="16"/>
    </row>
    <row r="90" spans="2:3" ht="16.5" hidden="1" customHeight="1" x14ac:dyDescent="0.3">
      <c r="B90" s="16"/>
      <c r="C90" s="16"/>
    </row>
    <row r="91" spans="2:3" ht="16.5" hidden="1" customHeight="1" x14ac:dyDescent="0.3">
      <c r="B91" s="16"/>
      <c r="C91" s="16"/>
    </row>
    <row r="92" spans="2:3" ht="16.5" hidden="1" customHeight="1" x14ac:dyDescent="0.3">
      <c r="B92" s="16"/>
      <c r="C92" s="16"/>
    </row>
    <row r="93" spans="2:3" ht="16.5" hidden="1" customHeight="1" x14ac:dyDescent="0.3">
      <c r="B93" s="16"/>
      <c r="C93" s="16"/>
    </row>
    <row r="94" spans="2:3" ht="16.5" hidden="1" customHeight="1" x14ac:dyDescent="0.3">
      <c r="B94" s="16"/>
      <c r="C94" s="16"/>
    </row>
    <row r="95" spans="2:3" ht="16.5" hidden="1" customHeight="1" x14ac:dyDescent="0.3">
      <c r="B95" s="16"/>
      <c r="C95" s="16"/>
    </row>
    <row r="96" spans="2:3" ht="16.5" hidden="1" customHeight="1" x14ac:dyDescent="0.3">
      <c r="B96" s="16"/>
      <c r="C96" s="16"/>
    </row>
    <row r="97" spans="2:3" ht="16.5" hidden="1" customHeight="1" x14ac:dyDescent="0.3">
      <c r="B97" s="16"/>
      <c r="C97" s="16"/>
    </row>
    <row r="98" spans="2:3" ht="16.5" hidden="1" customHeight="1" x14ac:dyDescent="0.3">
      <c r="B98" s="16"/>
      <c r="C98" s="16"/>
    </row>
    <row r="99" spans="2:3" ht="16.5" hidden="1" customHeight="1" x14ac:dyDescent="0.3">
      <c r="B99" s="16"/>
      <c r="C99" s="16"/>
    </row>
    <row r="100" spans="2:3" ht="16.5" hidden="1" customHeight="1" x14ac:dyDescent="0.3">
      <c r="B100" s="16"/>
      <c r="C100" s="16"/>
    </row>
    <row r="101" spans="2:3" ht="16.5" hidden="1" customHeight="1" x14ac:dyDescent="0.3">
      <c r="B101" s="16"/>
      <c r="C101" s="16"/>
    </row>
    <row r="102" spans="2:3" ht="16.5" hidden="1" customHeight="1" x14ac:dyDescent="0.3">
      <c r="B102" s="16"/>
      <c r="C102" s="16"/>
    </row>
    <row r="103" spans="2:3" ht="16.5" hidden="1" customHeight="1" x14ac:dyDescent="0.3">
      <c r="B103" s="16"/>
      <c r="C103" s="16"/>
    </row>
    <row r="104" spans="2:3" ht="16.5" hidden="1" customHeight="1" x14ac:dyDescent="0.3">
      <c r="B104" s="16"/>
      <c r="C104" s="16"/>
    </row>
    <row r="105" spans="2:3" ht="16.5" hidden="1" customHeight="1" x14ac:dyDescent="0.3">
      <c r="B105" s="16"/>
      <c r="C105" s="16"/>
    </row>
    <row r="106" spans="2:3" ht="16.5" hidden="1" customHeight="1" x14ac:dyDescent="0.3">
      <c r="B106" s="16"/>
      <c r="C106" s="16"/>
    </row>
    <row r="107" spans="2:3" ht="16.5" hidden="1" customHeight="1" x14ac:dyDescent="0.3">
      <c r="B107" s="16"/>
      <c r="C107" s="16"/>
    </row>
    <row r="108" spans="2:3" ht="16.5" hidden="1" customHeight="1" x14ac:dyDescent="0.3">
      <c r="B108" s="16"/>
      <c r="C108" s="16"/>
    </row>
    <row r="109" spans="2:3" ht="16.5" hidden="1" customHeight="1" x14ac:dyDescent="0.3">
      <c r="B109" s="16"/>
      <c r="C109" s="16"/>
    </row>
    <row r="110" spans="2:3" ht="16.5" hidden="1" customHeight="1" x14ac:dyDescent="0.3">
      <c r="B110" s="16"/>
      <c r="C110" s="16"/>
    </row>
    <row r="111" spans="2:3" ht="16.5" hidden="1" customHeight="1" x14ac:dyDescent="0.3">
      <c r="B111" s="16"/>
      <c r="C111" s="16"/>
    </row>
    <row r="112" spans="2:3" ht="16.5" hidden="1" customHeight="1" x14ac:dyDescent="0.3">
      <c r="B112" s="16"/>
      <c r="C112" s="16"/>
    </row>
    <row r="113" spans="2:3" ht="16.5" hidden="1" customHeight="1" x14ac:dyDescent="0.3">
      <c r="B113" s="16"/>
      <c r="C113" s="16"/>
    </row>
    <row r="114" spans="2:3" ht="16.5" hidden="1" customHeight="1" x14ac:dyDescent="0.3">
      <c r="B114" s="16"/>
      <c r="C114" s="16"/>
    </row>
    <row r="115" spans="2:3" ht="16.5" hidden="1" customHeight="1" x14ac:dyDescent="0.3">
      <c r="B115" s="16"/>
      <c r="C115" s="16"/>
    </row>
    <row r="116" spans="2:3" ht="16.5" hidden="1" customHeight="1" x14ac:dyDescent="0.3">
      <c r="B116" s="16"/>
      <c r="C116" s="16"/>
    </row>
    <row r="117" spans="2:3" ht="16.5" hidden="1" customHeight="1" x14ac:dyDescent="0.3">
      <c r="B117" s="16"/>
      <c r="C117" s="16"/>
    </row>
    <row r="118" spans="2:3" ht="16.5" hidden="1" customHeight="1" x14ac:dyDescent="0.3">
      <c r="B118" s="16"/>
      <c r="C118" s="16"/>
    </row>
    <row r="119" spans="2:3" ht="16.5" hidden="1" customHeight="1" x14ac:dyDescent="0.3">
      <c r="B119" s="16"/>
      <c r="C119" s="16"/>
    </row>
    <row r="120" spans="2:3" ht="16.5" hidden="1" customHeight="1" x14ac:dyDescent="0.3">
      <c r="B120" s="16"/>
      <c r="C120" s="16"/>
    </row>
    <row r="121" spans="2:3" ht="16.5" hidden="1" customHeight="1" x14ac:dyDescent="0.3">
      <c r="B121" s="16"/>
      <c r="C121" s="16"/>
    </row>
    <row r="122" spans="2:3" ht="16.5" hidden="1" customHeight="1" x14ac:dyDescent="0.3">
      <c r="B122" s="16"/>
      <c r="C122" s="16"/>
    </row>
    <row r="123" spans="2:3" ht="16.5" hidden="1" customHeight="1" x14ac:dyDescent="0.3">
      <c r="B123" s="16"/>
      <c r="C123" s="16"/>
    </row>
    <row r="124" spans="2:3" ht="16.5" hidden="1" customHeight="1" x14ac:dyDescent="0.3">
      <c r="B124" s="16"/>
      <c r="C124" s="16"/>
    </row>
    <row r="125" spans="2:3" ht="16.5" hidden="1" customHeight="1" x14ac:dyDescent="0.3">
      <c r="B125" s="16"/>
      <c r="C125" s="16"/>
    </row>
    <row r="126" spans="2:3" ht="16.5" hidden="1" customHeight="1" x14ac:dyDescent="0.3">
      <c r="B126" s="16"/>
      <c r="C126" s="16"/>
    </row>
    <row r="127" spans="2:3" ht="16.5" hidden="1" customHeight="1" x14ac:dyDescent="0.3">
      <c r="B127" s="16"/>
      <c r="C127" s="16"/>
    </row>
    <row r="128" spans="2:3" ht="16.5" hidden="1" customHeight="1" x14ac:dyDescent="0.3">
      <c r="B128" s="16"/>
      <c r="C128" s="16"/>
    </row>
    <row r="129" spans="2:3" ht="16.5" hidden="1" customHeight="1" x14ac:dyDescent="0.3">
      <c r="B129" s="16"/>
      <c r="C129" s="16"/>
    </row>
    <row r="130" spans="2:3" ht="16.5" hidden="1" customHeight="1" x14ac:dyDescent="0.3">
      <c r="B130" s="16"/>
      <c r="C130" s="16"/>
    </row>
    <row r="131" spans="2:3" ht="16.5" hidden="1" customHeight="1" x14ac:dyDescent="0.3">
      <c r="B131" s="16"/>
      <c r="C131" s="16"/>
    </row>
    <row r="132" spans="2:3" ht="16.5" hidden="1" customHeight="1" x14ac:dyDescent="0.3">
      <c r="B132" s="16"/>
      <c r="C132" s="16"/>
    </row>
    <row r="133" spans="2:3" ht="16.5" hidden="1" customHeight="1" x14ac:dyDescent="0.3">
      <c r="B133" s="16"/>
      <c r="C133" s="16"/>
    </row>
    <row r="134" spans="2:3" ht="16.5" hidden="1" customHeight="1" x14ac:dyDescent="0.3">
      <c r="B134" s="16"/>
      <c r="C134" s="16"/>
    </row>
    <row r="135" spans="2:3" ht="16.5" hidden="1" customHeight="1" x14ac:dyDescent="0.3">
      <c r="B135" s="16"/>
      <c r="C135" s="16"/>
    </row>
    <row r="136" spans="2:3" ht="16.5" hidden="1" customHeight="1" x14ac:dyDescent="0.3">
      <c r="B136" s="16"/>
      <c r="C136" s="16"/>
    </row>
    <row r="137" spans="2:3" ht="16.5" hidden="1" customHeight="1" x14ac:dyDescent="0.3">
      <c r="B137" s="16"/>
      <c r="C137" s="16"/>
    </row>
    <row r="138" spans="2:3" ht="16.5" hidden="1" customHeight="1" x14ac:dyDescent="0.3">
      <c r="B138" s="16"/>
      <c r="C138" s="16"/>
    </row>
    <row r="139" spans="2:3" ht="16.5" hidden="1" customHeight="1" x14ac:dyDescent="0.3">
      <c r="B139" s="16"/>
      <c r="C139" s="16"/>
    </row>
    <row r="140" spans="2:3" ht="16.5" hidden="1" customHeight="1" x14ac:dyDescent="0.3">
      <c r="B140" s="16"/>
      <c r="C140" s="16"/>
    </row>
    <row r="141" spans="2:3" ht="16.5" hidden="1" customHeight="1" x14ac:dyDescent="0.3">
      <c r="B141" s="16"/>
      <c r="C141" s="16"/>
    </row>
    <row r="142" spans="2:3" ht="16.5" hidden="1" customHeight="1" x14ac:dyDescent="0.3">
      <c r="B142" s="16"/>
      <c r="C142" s="16"/>
    </row>
    <row r="143" spans="2:3" ht="16.5" hidden="1" customHeight="1" x14ac:dyDescent="0.3">
      <c r="B143" s="16"/>
      <c r="C143" s="16"/>
    </row>
    <row r="144" spans="2:3" ht="16.5" hidden="1" customHeight="1" x14ac:dyDescent="0.3">
      <c r="B144" s="16"/>
      <c r="C144" s="16"/>
    </row>
    <row r="145" spans="2:3" ht="16.5" hidden="1" customHeight="1" x14ac:dyDescent="0.3">
      <c r="B145" s="16"/>
      <c r="C145" s="16"/>
    </row>
    <row r="146" spans="2:3" ht="16.5" hidden="1" customHeight="1" x14ac:dyDescent="0.3">
      <c r="B146" s="16"/>
      <c r="C146" s="16"/>
    </row>
    <row r="147" spans="2:3" ht="16.5" hidden="1" customHeight="1" x14ac:dyDescent="0.3">
      <c r="B147" s="16"/>
      <c r="C147" s="16"/>
    </row>
    <row r="148" spans="2:3" ht="16.5" hidden="1" customHeight="1" x14ac:dyDescent="0.3">
      <c r="B148" s="16"/>
      <c r="C148" s="16"/>
    </row>
    <row r="149" spans="2:3" ht="16.5" hidden="1" customHeight="1" x14ac:dyDescent="0.3">
      <c r="B149" s="16"/>
      <c r="C149" s="16"/>
    </row>
    <row r="150" spans="2:3" ht="16.5" hidden="1" customHeight="1" x14ac:dyDescent="0.3">
      <c r="B150" s="16"/>
      <c r="C150" s="16"/>
    </row>
    <row r="151" spans="2:3" ht="16.5" hidden="1" customHeight="1" x14ac:dyDescent="0.3">
      <c r="B151" s="16"/>
      <c r="C151" s="16"/>
    </row>
    <row r="152" spans="2:3" ht="16.5" hidden="1" customHeight="1" x14ac:dyDescent="0.3">
      <c r="B152" s="16"/>
      <c r="C152" s="16"/>
    </row>
    <row r="153" spans="2:3" ht="16.5" hidden="1" customHeight="1" x14ac:dyDescent="0.3">
      <c r="B153" s="16"/>
      <c r="C153" s="16"/>
    </row>
    <row r="154" spans="2:3" ht="16.5" hidden="1" customHeight="1" x14ac:dyDescent="0.3">
      <c r="B154" s="16"/>
      <c r="C154" s="16"/>
    </row>
    <row r="155" spans="2:3" ht="16.5" hidden="1" customHeight="1" x14ac:dyDescent="0.3">
      <c r="B155" s="16"/>
      <c r="C155" s="16"/>
    </row>
    <row r="156" spans="2:3" ht="16.5" hidden="1" customHeight="1" x14ac:dyDescent="0.3">
      <c r="B156" s="16"/>
      <c r="C156" s="16"/>
    </row>
    <row r="157" spans="2:3" ht="16.5" hidden="1" customHeight="1" x14ac:dyDescent="0.3">
      <c r="B157" s="16"/>
      <c r="C157" s="16"/>
    </row>
    <row r="158" spans="2:3" ht="16.5" hidden="1" customHeight="1" x14ac:dyDescent="0.3">
      <c r="B158" s="16"/>
      <c r="C158" s="16"/>
    </row>
    <row r="159" spans="2:3" ht="16.5" hidden="1" customHeight="1" x14ac:dyDescent="0.3">
      <c r="B159" s="16"/>
      <c r="C159" s="16"/>
    </row>
    <row r="160" spans="2:3" ht="16.5" hidden="1" customHeight="1" x14ac:dyDescent="0.3">
      <c r="B160" s="16"/>
      <c r="C160" s="16"/>
    </row>
    <row r="161" spans="2:3" ht="16.5" hidden="1" customHeight="1" x14ac:dyDescent="0.3">
      <c r="B161" s="16"/>
      <c r="C161" s="16"/>
    </row>
    <row r="162" spans="2:3" ht="16.5" hidden="1" customHeight="1" x14ac:dyDescent="0.3">
      <c r="B162" s="16"/>
      <c r="C162" s="16"/>
    </row>
    <row r="163" spans="2:3" ht="16.5" hidden="1" customHeight="1" x14ac:dyDescent="0.3">
      <c r="B163" s="16"/>
      <c r="C163" s="16"/>
    </row>
    <row r="164" spans="2:3" ht="16.5" hidden="1" customHeight="1" x14ac:dyDescent="0.3">
      <c r="B164" s="16"/>
      <c r="C164" s="16"/>
    </row>
    <row r="165" spans="2:3" ht="16.5" hidden="1" customHeight="1" x14ac:dyDescent="0.3">
      <c r="B165" s="16"/>
      <c r="C165" s="16"/>
    </row>
    <row r="166" spans="2:3" ht="16.5" hidden="1" customHeight="1" x14ac:dyDescent="0.3">
      <c r="B166" s="16"/>
      <c r="C166" s="16"/>
    </row>
    <row r="167" spans="2:3" ht="16.5" hidden="1" customHeight="1" x14ac:dyDescent="0.3">
      <c r="B167" s="16"/>
      <c r="C167" s="16"/>
    </row>
    <row r="168" spans="2:3" ht="16.5" hidden="1" customHeight="1" x14ac:dyDescent="0.3">
      <c r="B168" s="16"/>
      <c r="C168" s="16"/>
    </row>
    <row r="169" spans="2:3" ht="16.5" hidden="1" customHeight="1" x14ac:dyDescent="0.3">
      <c r="B169" s="16"/>
      <c r="C169" s="16"/>
    </row>
    <row r="170" spans="2:3" ht="16.5" hidden="1" customHeight="1" x14ac:dyDescent="0.3">
      <c r="B170" s="16"/>
      <c r="C170" s="16"/>
    </row>
    <row r="171" spans="2:3" ht="16.5" hidden="1" customHeight="1" x14ac:dyDescent="0.3">
      <c r="B171" s="16"/>
      <c r="C171" s="16"/>
    </row>
    <row r="172" spans="2:3" ht="16.5" hidden="1" customHeight="1" x14ac:dyDescent="0.3">
      <c r="B172" s="16"/>
      <c r="C172" s="16"/>
    </row>
    <row r="173" spans="2:3" ht="16.5" hidden="1" customHeight="1" x14ac:dyDescent="0.3">
      <c r="B173" s="16"/>
      <c r="C173" s="16"/>
    </row>
    <row r="174" spans="2:3" ht="16.5" hidden="1" customHeight="1" x14ac:dyDescent="0.3">
      <c r="B174" s="16"/>
      <c r="C174" s="16"/>
    </row>
    <row r="175" spans="2:3" ht="16.5" hidden="1" customHeight="1" x14ac:dyDescent="0.3">
      <c r="B175" s="16"/>
      <c r="C175" s="16"/>
    </row>
    <row r="176" spans="2:3" ht="16.5" hidden="1" customHeight="1" x14ac:dyDescent="0.3">
      <c r="B176" s="16"/>
      <c r="C176" s="16"/>
    </row>
    <row r="177" spans="2:3" ht="16.5" hidden="1" customHeight="1" x14ac:dyDescent="0.3">
      <c r="B177" s="16"/>
      <c r="C177" s="16"/>
    </row>
    <row r="178" spans="2:3" ht="16.5" hidden="1" customHeight="1" x14ac:dyDescent="0.3">
      <c r="B178" s="16"/>
      <c r="C178" s="16"/>
    </row>
    <row r="179" spans="2:3" ht="16.5" hidden="1" customHeight="1" x14ac:dyDescent="0.3">
      <c r="B179" s="16"/>
      <c r="C179" s="16"/>
    </row>
    <row r="180" spans="2:3" ht="16.5" hidden="1" customHeight="1" x14ac:dyDescent="0.3">
      <c r="B180" s="16"/>
      <c r="C180" s="16"/>
    </row>
    <row r="181" spans="2:3" ht="16.5" hidden="1" customHeight="1" x14ac:dyDescent="0.3">
      <c r="B181" s="16"/>
      <c r="C181" s="16"/>
    </row>
    <row r="182" spans="2:3" ht="16.5" hidden="1" customHeight="1" x14ac:dyDescent="0.3">
      <c r="B182" s="16"/>
      <c r="C182" s="16"/>
    </row>
    <row r="183" spans="2:3" ht="16.5" hidden="1" customHeight="1" x14ac:dyDescent="0.3">
      <c r="B183" s="16"/>
      <c r="C183" s="16"/>
    </row>
    <row r="184" spans="2:3" ht="16.5" hidden="1" customHeight="1" x14ac:dyDescent="0.3">
      <c r="B184" s="16"/>
      <c r="C184" s="16"/>
    </row>
    <row r="185" spans="2:3" ht="16.5" hidden="1" customHeight="1" x14ac:dyDescent="0.3">
      <c r="B185" s="16"/>
      <c r="C185" s="16"/>
    </row>
    <row r="186" spans="2:3" ht="16.5" hidden="1" customHeight="1" x14ac:dyDescent="0.3">
      <c r="B186" s="16"/>
      <c r="C186" s="16"/>
    </row>
    <row r="187" spans="2:3" ht="16.5" hidden="1" customHeight="1" x14ac:dyDescent="0.3">
      <c r="B187" s="16"/>
      <c r="C187" s="16"/>
    </row>
    <row r="188" spans="2:3" ht="16.5" hidden="1" customHeight="1" x14ac:dyDescent="0.3">
      <c r="B188" s="16"/>
      <c r="C188" s="16"/>
    </row>
    <row r="189" spans="2:3" ht="16.5" hidden="1" customHeight="1" x14ac:dyDescent="0.3">
      <c r="B189" s="16"/>
      <c r="C189" s="16"/>
    </row>
    <row r="190" spans="2:3" ht="16.5" hidden="1" customHeight="1" x14ac:dyDescent="0.3">
      <c r="B190" s="16"/>
      <c r="C190" s="16"/>
    </row>
    <row r="191" spans="2:3" ht="16.5" hidden="1" customHeight="1" x14ac:dyDescent="0.3">
      <c r="B191" s="16"/>
      <c r="C191" s="16"/>
    </row>
    <row r="192" spans="2:3" ht="16.5" hidden="1" customHeight="1" x14ac:dyDescent="0.3">
      <c r="B192" s="16"/>
      <c r="C192" s="16"/>
    </row>
    <row r="193" spans="2:3" ht="16.5" hidden="1" customHeight="1" x14ac:dyDescent="0.3">
      <c r="B193" s="16"/>
      <c r="C193" s="16"/>
    </row>
    <row r="194" spans="2:3" ht="16.5" hidden="1" customHeight="1" x14ac:dyDescent="0.3">
      <c r="B194" s="16"/>
      <c r="C194" s="16"/>
    </row>
    <row r="195" spans="2:3" ht="16.5" hidden="1" customHeight="1" x14ac:dyDescent="0.3">
      <c r="B195" s="16"/>
      <c r="C195" s="16"/>
    </row>
    <row r="196" spans="2:3" ht="16.5" hidden="1" customHeight="1" x14ac:dyDescent="0.3">
      <c r="B196" s="16"/>
      <c r="C196" s="16"/>
    </row>
    <row r="197" spans="2:3" ht="16.5" hidden="1" customHeight="1" x14ac:dyDescent="0.3">
      <c r="B197" s="16"/>
      <c r="C197" s="16"/>
    </row>
    <row r="198" spans="2:3" ht="16.5" hidden="1" customHeight="1" x14ac:dyDescent="0.3">
      <c r="B198" s="16"/>
      <c r="C198" s="16"/>
    </row>
    <row r="199" spans="2:3" ht="16.5" hidden="1" customHeight="1" x14ac:dyDescent="0.3">
      <c r="B199" s="16"/>
      <c r="C199" s="16"/>
    </row>
    <row r="200" spans="2:3" ht="16.5" hidden="1" customHeight="1" x14ac:dyDescent="0.3">
      <c r="B200" s="16"/>
      <c r="C200" s="16"/>
    </row>
    <row r="201" spans="2:3" ht="16.5" hidden="1" customHeight="1" x14ac:dyDescent="0.3">
      <c r="B201" s="16"/>
      <c r="C201" s="16"/>
    </row>
    <row r="202" spans="2:3" ht="16.5" hidden="1" customHeight="1" x14ac:dyDescent="0.3">
      <c r="B202" s="16"/>
      <c r="C202" s="16"/>
    </row>
    <row r="203" spans="2:3" ht="16.5" hidden="1" customHeight="1" x14ac:dyDescent="0.3">
      <c r="B203" s="16"/>
      <c r="C203" s="16"/>
    </row>
    <row r="204" spans="2:3" ht="16.5" hidden="1" customHeight="1" x14ac:dyDescent="0.3">
      <c r="B204" s="16"/>
      <c r="C204" s="16"/>
    </row>
    <row r="205" spans="2:3" ht="16.5" hidden="1" customHeight="1" x14ac:dyDescent="0.3">
      <c r="B205" s="16"/>
      <c r="C205" s="16"/>
    </row>
    <row r="206" spans="2:3" ht="16.5" hidden="1" customHeight="1" x14ac:dyDescent="0.3">
      <c r="B206" s="16"/>
      <c r="C206" s="16"/>
    </row>
    <row r="207" spans="2:3" ht="16.5" hidden="1" customHeight="1" x14ac:dyDescent="0.3">
      <c r="B207" s="16"/>
      <c r="C207" s="16"/>
    </row>
    <row r="208" spans="2:3" ht="16.5" hidden="1" customHeight="1" x14ac:dyDescent="0.3">
      <c r="B208" s="16"/>
      <c r="C208" s="16"/>
    </row>
    <row r="209" spans="2:3" ht="16.5" hidden="1" customHeight="1" x14ac:dyDescent="0.3">
      <c r="B209" s="16"/>
      <c r="C209" s="16"/>
    </row>
    <row r="210" spans="2:3" ht="16.5" hidden="1" customHeight="1" x14ac:dyDescent="0.3">
      <c r="B210" s="16"/>
      <c r="C210" s="16"/>
    </row>
    <row r="211" spans="2:3" ht="16.5" hidden="1" customHeight="1" x14ac:dyDescent="0.3">
      <c r="B211" s="16"/>
      <c r="C211" s="16"/>
    </row>
    <row r="212" spans="2:3" ht="16.5" hidden="1" customHeight="1" x14ac:dyDescent="0.3">
      <c r="B212" s="16"/>
      <c r="C212" s="16"/>
    </row>
    <row r="213" spans="2:3" ht="16.5" hidden="1" customHeight="1" x14ac:dyDescent="0.3">
      <c r="B213" s="16"/>
      <c r="C213" s="16"/>
    </row>
    <row r="214" spans="2:3" ht="16.5" hidden="1" customHeight="1" x14ac:dyDescent="0.3">
      <c r="B214" s="16"/>
      <c r="C214" s="16"/>
    </row>
    <row r="215" spans="2:3" ht="16.5" hidden="1" customHeight="1" x14ac:dyDescent="0.3">
      <c r="B215" s="16"/>
      <c r="C215" s="16"/>
    </row>
    <row r="216" spans="2:3" ht="16.5" hidden="1" customHeight="1" x14ac:dyDescent="0.3">
      <c r="B216" s="16"/>
      <c r="C216" s="16"/>
    </row>
    <row r="217" spans="2:3" ht="16.5" hidden="1" customHeight="1" x14ac:dyDescent="0.3">
      <c r="B217" s="16"/>
      <c r="C217" s="16"/>
    </row>
    <row r="218" spans="2:3" ht="16.5" hidden="1" customHeight="1" x14ac:dyDescent="0.3">
      <c r="B218" s="16"/>
      <c r="C218" s="16"/>
    </row>
    <row r="219" spans="2:3" ht="16.5" hidden="1" customHeight="1" x14ac:dyDescent="0.3">
      <c r="B219" s="16"/>
      <c r="C219" s="16"/>
    </row>
    <row r="220" spans="2:3" ht="16.5" hidden="1" customHeight="1" x14ac:dyDescent="0.3">
      <c r="B220" s="16"/>
      <c r="C220" s="16"/>
    </row>
    <row r="221" spans="2:3" ht="16.5" hidden="1" customHeight="1" x14ac:dyDescent="0.3">
      <c r="B221" s="16"/>
      <c r="C221" s="16"/>
    </row>
    <row r="222" spans="2:3" ht="16.5" hidden="1" customHeight="1" x14ac:dyDescent="0.3">
      <c r="B222" s="16"/>
      <c r="C222" s="16"/>
    </row>
    <row r="223" spans="2:3" ht="16.5" hidden="1" customHeight="1" x14ac:dyDescent="0.3">
      <c r="B223" s="16"/>
      <c r="C223" s="16"/>
    </row>
    <row r="224" spans="2:3" ht="16.5" hidden="1" customHeight="1" x14ac:dyDescent="0.3">
      <c r="B224" s="16"/>
      <c r="C224" s="16"/>
    </row>
    <row r="225" spans="2:3" ht="16.5" hidden="1" customHeight="1" x14ac:dyDescent="0.3">
      <c r="B225" s="16"/>
      <c r="C225" s="16"/>
    </row>
    <row r="226" spans="2:3" ht="16.5" hidden="1" customHeight="1" x14ac:dyDescent="0.3">
      <c r="B226" s="16"/>
      <c r="C226" s="16"/>
    </row>
    <row r="227" spans="2:3" ht="16.5" hidden="1" customHeight="1" x14ac:dyDescent="0.3">
      <c r="B227" s="16"/>
      <c r="C227" s="16"/>
    </row>
    <row r="228" spans="2:3" ht="16.5" hidden="1" customHeight="1" x14ac:dyDescent="0.3">
      <c r="B228" s="16"/>
      <c r="C228" s="16"/>
    </row>
    <row r="229" spans="2:3" ht="16.5" hidden="1" customHeight="1" x14ac:dyDescent="0.3">
      <c r="B229" s="16"/>
      <c r="C229" s="16"/>
    </row>
    <row r="230" spans="2:3" ht="16.5" hidden="1" customHeight="1" x14ac:dyDescent="0.3">
      <c r="B230" s="16"/>
      <c r="C230" s="16"/>
    </row>
    <row r="231" spans="2:3" ht="16.5" hidden="1" customHeight="1" x14ac:dyDescent="0.3">
      <c r="B231" s="16"/>
      <c r="C231" s="16"/>
    </row>
    <row r="232" spans="2:3" ht="16.5" hidden="1" customHeight="1" x14ac:dyDescent="0.3">
      <c r="B232" s="16"/>
      <c r="C232" s="16"/>
    </row>
    <row r="233" spans="2:3" ht="16.5" hidden="1" customHeight="1" x14ac:dyDescent="0.3">
      <c r="B233" s="16"/>
      <c r="C233" s="16"/>
    </row>
    <row r="234" spans="2:3" ht="16.5" hidden="1" customHeight="1" x14ac:dyDescent="0.3">
      <c r="B234" s="16"/>
      <c r="C234" s="16"/>
    </row>
    <row r="235" spans="2:3" ht="16.5" hidden="1" customHeight="1" x14ac:dyDescent="0.3">
      <c r="B235" s="16"/>
      <c r="C235" s="16"/>
    </row>
    <row r="236" spans="2:3" ht="16.5" hidden="1" customHeight="1" x14ac:dyDescent="0.3">
      <c r="B236" s="16"/>
      <c r="C236" s="16"/>
    </row>
    <row r="237" spans="2:3" ht="16.5" hidden="1" customHeight="1" x14ac:dyDescent="0.3">
      <c r="B237" s="16"/>
      <c r="C237" s="16"/>
    </row>
    <row r="238" spans="2:3" ht="16.5" hidden="1" customHeight="1" x14ac:dyDescent="0.3">
      <c r="B238" s="16"/>
      <c r="C238" s="16"/>
    </row>
    <row r="239" spans="2:3" ht="16.5" hidden="1" customHeight="1" x14ac:dyDescent="0.3">
      <c r="B239" s="16"/>
      <c r="C239" s="16"/>
    </row>
    <row r="240" spans="2:3" ht="16.5" hidden="1" customHeight="1" x14ac:dyDescent="0.3">
      <c r="B240" s="16"/>
      <c r="C240" s="16"/>
    </row>
    <row r="241" spans="2:3" ht="16.5" hidden="1" customHeight="1" x14ac:dyDescent="0.3">
      <c r="B241" s="16"/>
      <c r="C241" s="16"/>
    </row>
    <row r="242" spans="2:3" ht="16.5" hidden="1" customHeight="1" x14ac:dyDescent="0.3">
      <c r="B242" s="16"/>
      <c r="C242" s="16"/>
    </row>
    <row r="243" spans="2:3" ht="16.5" hidden="1" customHeight="1" x14ac:dyDescent="0.3">
      <c r="B243" s="16"/>
      <c r="C243" s="16"/>
    </row>
    <row r="244" spans="2:3" ht="16.5" hidden="1" customHeight="1" x14ac:dyDescent="0.3">
      <c r="B244" s="16"/>
      <c r="C244" s="16"/>
    </row>
    <row r="245" spans="2:3" ht="16.5" hidden="1" customHeight="1" x14ac:dyDescent="0.3">
      <c r="B245" s="16"/>
      <c r="C245" s="16"/>
    </row>
    <row r="246" spans="2:3" ht="16.5" hidden="1" customHeight="1" x14ac:dyDescent="0.3">
      <c r="B246" s="16"/>
      <c r="C246" s="16"/>
    </row>
    <row r="247" spans="2:3" ht="16.5" hidden="1" customHeight="1" x14ac:dyDescent="0.3">
      <c r="B247" s="16"/>
      <c r="C247" s="16"/>
    </row>
    <row r="248" spans="2:3" ht="16.5" hidden="1" customHeight="1" x14ac:dyDescent="0.3">
      <c r="B248" s="16"/>
      <c r="C248" s="16"/>
    </row>
    <row r="249" spans="2:3" ht="16.5" hidden="1" customHeight="1" x14ac:dyDescent="0.3">
      <c r="B249" s="16"/>
      <c r="C249" s="16"/>
    </row>
    <row r="250" spans="2:3" ht="16.5" hidden="1" customHeight="1" x14ac:dyDescent="0.3">
      <c r="B250" s="16"/>
      <c r="C250" s="16"/>
    </row>
    <row r="251" spans="2:3" ht="16.5" hidden="1" customHeight="1" x14ac:dyDescent="0.3">
      <c r="B251" s="16"/>
      <c r="C251" s="16"/>
    </row>
    <row r="252" spans="2:3" ht="16.5" hidden="1" customHeight="1" x14ac:dyDescent="0.3">
      <c r="B252" s="16"/>
      <c r="C252" s="16"/>
    </row>
    <row r="253" spans="2:3" ht="16.5" hidden="1" customHeight="1" x14ac:dyDescent="0.3">
      <c r="B253" s="16"/>
      <c r="C253" s="16"/>
    </row>
    <row r="254" spans="2:3" ht="16.5" hidden="1" customHeight="1" x14ac:dyDescent="0.3">
      <c r="B254" s="16"/>
      <c r="C254" s="16"/>
    </row>
    <row r="255" spans="2:3" ht="16.5" hidden="1" customHeight="1" x14ac:dyDescent="0.3">
      <c r="B255" s="16"/>
      <c r="C255" s="16"/>
    </row>
    <row r="256" spans="2:3" ht="16.5" hidden="1" customHeight="1" x14ac:dyDescent="0.3">
      <c r="B256" s="16"/>
      <c r="C256" s="16"/>
    </row>
    <row r="257" spans="2:3" ht="16.5" hidden="1" customHeight="1" x14ac:dyDescent="0.3">
      <c r="B257" s="16"/>
      <c r="C257" s="16"/>
    </row>
    <row r="258" spans="2:3" ht="16.5" hidden="1" customHeight="1" x14ac:dyDescent="0.3">
      <c r="B258" s="16"/>
      <c r="C258" s="16"/>
    </row>
    <row r="259" spans="2:3" ht="16.5" hidden="1" customHeight="1" x14ac:dyDescent="0.3">
      <c r="B259" s="16"/>
      <c r="C259" s="16"/>
    </row>
    <row r="260" spans="2:3" ht="16.5" hidden="1" customHeight="1" x14ac:dyDescent="0.3">
      <c r="B260" s="16"/>
      <c r="C260" s="16"/>
    </row>
    <row r="261" spans="2:3" ht="16.5" hidden="1" customHeight="1" x14ac:dyDescent="0.3">
      <c r="B261" s="16"/>
      <c r="C261" s="16"/>
    </row>
    <row r="262" spans="2:3" ht="16.5" hidden="1" customHeight="1" x14ac:dyDescent="0.3">
      <c r="B262" s="16"/>
      <c r="C262" s="16"/>
    </row>
    <row r="263" spans="2:3" ht="16.5" hidden="1" customHeight="1" x14ac:dyDescent="0.3">
      <c r="B263" s="16"/>
      <c r="C263" s="16"/>
    </row>
    <row r="264" spans="2:3" ht="16.5" hidden="1" customHeight="1" x14ac:dyDescent="0.3">
      <c r="B264" s="16"/>
      <c r="C264" s="16"/>
    </row>
    <row r="265" spans="2:3" ht="16.5" hidden="1" customHeight="1" x14ac:dyDescent="0.3">
      <c r="B265" s="16"/>
      <c r="C265" s="16"/>
    </row>
    <row r="266" spans="2:3" ht="16.5" hidden="1" customHeight="1" x14ac:dyDescent="0.3">
      <c r="B266" s="16"/>
      <c r="C266" s="16"/>
    </row>
    <row r="267" spans="2:3" ht="16.5" hidden="1" customHeight="1" x14ac:dyDescent="0.3">
      <c r="B267" s="16"/>
      <c r="C267" s="16"/>
    </row>
    <row r="268" spans="2:3" ht="16.5" hidden="1" customHeight="1" x14ac:dyDescent="0.3">
      <c r="B268" s="16"/>
      <c r="C268" s="16"/>
    </row>
    <row r="269" spans="2:3" ht="16.5" hidden="1" customHeight="1" x14ac:dyDescent="0.3">
      <c r="B269" s="16"/>
      <c r="C269" s="16"/>
    </row>
    <row r="270" spans="2:3" ht="16.5" hidden="1" customHeight="1" x14ac:dyDescent="0.3">
      <c r="B270" s="16"/>
      <c r="C270" s="16"/>
    </row>
    <row r="271" spans="2:3" ht="16.5" hidden="1" customHeight="1" x14ac:dyDescent="0.3">
      <c r="B271" s="16"/>
      <c r="C271" s="16"/>
    </row>
    <row r="272" spans="2:3" ht="16.5" hidden="1" customHeight="1" x14ac:dyDescent="0.3">
      <c r="B272" s="16"/>
      <c r="C272" s="16"/>
    </row>
    <row r="273" spans="2:3" ht="16.5" hidden="1" customHeight="1" x14ac:dyDescent="0.3">
      <c r="B273" s="16"/>
      <c r="C273" s="16"/>
    </row>
    <row r="274" spans="2:3" ht="16.5" hidden="1" customHeight="1" x14ac:dyDescent="0.3">
      <c r="B274" s="16"/>
      <c r="C274" s="16"/>
    </row>
    <row r="275" spans="2:3" ht="16.5" hidden="1" customHeight="1" x14ac:dyDescent="0.3">
      <c r="B275" s="16"/>
      <c r="C275" s="16"/>
    </row>
    <row r="276" spans="2:3" ht="16.5" hidden="1" customHeight="1" x14ac:dyDescent="0.3">
      <c r="B276" s="16"/>
      <c r="C276" s="16"/>
    </row>
    <row r="277" spans="2:3" ht="16.5" hidden="1" customHeight="1" x14ac:dyDescent="0.3">
      <c r="B277" s="16"/>
      <c r="C277" s="16"/>
    </row>
    <row r="278" spans="2:3" ht="16.5" hidden="1" customHeight="1" x14ac:dyDescent="0.3">
      <c r="B278" s="16"/>
      <c r="C278" s="16"/>
    </row>
    <row r="279" spans="2:3" ht="16.5" hidden="1" customHeight="1" x14ac:dyDescent="0.3">
      <c r="B279" s="16"/>
      <c r="C279" s="16"/>
    </row>
    <row r="280" spans="2:3" ht="16.5" hidden="1" customHeight="1" x14ac:dyDescent="0.3">
      <c r="B280" s="16"/>
      <c r="C280" s="16"/>
    </row>
    <row r="281" spans="2:3" ht="16.5" hidden="1" customHeight="1" x14ac:dyDescent="0.3">
      <c r="B281" s="16"/>
      <c r="C281" s="16"/>
    </row>
    <row r="282" spans="2:3" ht="16.5" hidden="1" customHeight="1" x14ac:dyDescent="0.3">
      <c r="B282" s="16"/>
      <c r="C282" s="16"/>
    </row>
    <row r="283" spans="2:3" ht="16.5" hidden="1" customHeight="1" x14ac:dyDescent="0.3">
      <c r="B283" s="16"/>
      <c r="C283" s="16"/>
    </row>
    <row r="284" spans="2:3" ht="16.5" hidden="1" customHeight="1" x14ac:dyDescent="0.3">
      <c r="B284" s="16"/>
      <c r="C284" s="16"/>
    </row>
    <row r="285" spans="2:3" ht="16.5" hidden="1" customHeight="1" x14ac:dyDescent="0.3">
      <c r="B285" s="16"/>
      <c r="C285" s="16"/>
    </row>
    <row r="286" spans="2:3" ht="16.5" hidden="1" customHeight="1" x14ac:dyDescent="0.3">
      <c r="B286" s="16"/>
      <c r="C286" s="16"/>
    </row>
    <row r="287" spans="2:3" ht="16.5" hidden="1" customHeight="1" x14ac:dyDescent="0.3">
      <c r="B287" s="16"/>
      <c r="C287" s="16"/>
    </row>
    <row r="288" spans="2:3" ht="16.5" hidden="1" customHeight="1" x14ac:dyDescent="0.3">
      <c r="B288" s="16"/>
      <c r="C288" s="16"/>
    </row>
    <row r="289" spans="2:3" ht="16.5" hidden="1" customHeight="1" x14ac:dyDescent="0.3">
      <c r="B289" s="16"/>
      <c r="C289" s="16"/>
    </row>
    <row r="290" spans="2:3" ht="16.5" hidden="1" customHeight="1" x14ac:dyDescent="0.3">
      <c r="B290" s="16"/>
      <c r="C290" s="16"/>
    </row>
    <row r="291" spans="2:3" ht="16.5" hidden="1" customHeight="1" x14ac:dyDescent="0.3">
      <c r="B291" s="16"/>
      <c r="C291" s="16"/>
    </row>
    <row r="292" spans="2:3" ht="16.5" hidden="1" customHeight="1" x14ac:dyDescent="0.3">
      <c r="B292" s="16"/>
      <c r="C292" s="16"/>
    </row>
    <row r="293" spans="2:3" ht="16.5" hidden="1" customHeight="1" x14ac:dyDescent="0.3">
      <c r="B293" s="16"/>
      <c r="C293" s="16"/>
    </row>
    <row r="294" spans="2:3" ht="16.5" hidden="1" customHeight="1" x14ac:dyDescent="0.3">
      <c r="B294" s="16"/>
      <c r="C294" s="16"/>
    </row>
    <row r="295" spans="2:3" ht="16.5" hidden="1" customHeight="1" x14ac:dyDescent="0.3">
      <c r="B295" s="16"/>
      <c r="C295" s="16"/>
    </row>
    <row r="296" spans="2:3" ht="16.5" hidden="1" customHeight="1" x14ac:dyDescent="0.3">
      <c r="B296" s="16"/>
      <c r="C296" s="16"/>
    </row>
    <row r="297" spans="2:3" ht="16.5" hidden="1" customHeight="1" x14ac:dyDescent="0.3">
      <c r="B297" s="16"/>
      <c r="C297" s="16"/>
    </row>
    <row r="298" spans="2:3" ht="16.5" hidden="1" customHeight="1" x14ac:dyDescent="0.3">
      <c r="B298" s="16"/>
      <c r="C298" s="16"/>
    </row>
    <row r="299" spans="2:3" ht="16.5" hidden="1" customHeight="1" x14ac:dyDescent="0.3">
      <c r="B299" s="16"/>
      <c r="C299" s="16"/>
    </row>
    <row r="300" spans="2:3" ht="16.5" hidden="1" customHeight="1" x14ac:dyDescent="0.3">
      <c r="B300" s="16"/>
      <c r="C300" s="16"/>
    </row>
    <row r="301" spans="2:3" ht="16.5" hidden="1" customHeight="1" x14ac:dyDescent="0.3">
      <c r="B301" s="16"/>
      <c r="C301" s="16"/>
    </row>
    <row r="302" spans="2:3" ht="16.5" hidden="1" customHeight="1" x14ac:dyDescent="0.3">
      <c r="B302" s="16"/>
      <c r="C302" s="16"/>
    </row>
    <row r="303" spans="2:3" ht="16.5" hidden="1" customHeight="1" x14ac:dyDescent="0.3">
      <c r="B303" s="16"/>
      <c r="C303" s="16"/>
    </row>
    <row r="304" spans="2:3" ht="16.5" hidden="1" customHeight="1" x14ac:dyDescent="0.3">
      <c r="B304" s="16"/>
      <c r="C304" s="16"/>
    </row>
    <row r="305" spans="2:3" ht="16.5" hidden="1" customHeight="1" x14ac:dyDescent="0.3">
      <c r="B305" s="16"/>
      <c r="C305" s="16"/>
    </row>
    <row r="306" spans="2:3" ht="16.5" hidden="1" customHeight="1" x14ac:dyDescent="0.3">
      <c r="B306" s="16"/>
      <c r="C306" s="16"/>
    </row>
    <row r="307" spans="2:3" ht="16.5" hidden="1" customHeight="1" x14ac:dyDescent="0.3">
      <c r="B307" s="16"/>
      <c r="C307" s="16"/>
    </row>
    <row r="308" spans="2:3" ht="16.5" hidden="1" customHeight="1" x14ac:dyDescent="0.3">
      <c r="B308" s="16"/>
      <c r="C308" s="16"/>
    </row>
    <row r="309" spans="2:3" ht="16.5" hidden="1" customHeight="1" x14ac:dyDescent="0.3">
      <c r="B309" s="16"/>
      <c r="C309" s="16"/>
    </row>
    <row r="310" spans="2:3" ht="16.5" hidden="1" customHeight="1" x14ac:dyDescent="0.3">
      <c r="B310" s="16"/>
      <c r="C310" s="16"/>
    </row>
    <row r="311" spans="2:3" ht="16.5" hidden="1" customHeight="1" x14ac:dyDescent="0.3">
      <c r="B311" s="16"/>
      <c r="C311" s="16"/>
    </row>
    <row r="312" spans="2:3" ht="16.5" hidden="1" customHeight="1" x14ac:dyDescent="0.3">
      <c r="B312" s="16"/>
      <c r="C312" s="16"/>
    </row>
    <row r="313" spans="2:3" ht="16.5" hidden="1" customHeight="1" x14ac:dyDescent="0.3">
      <c r="B313" s="16"/>
      <c r="C313" s="16"/>
    </row>
    <row r="314" spans="2:3" ht="16.5" hidden="1" customHeight="1" x14ac:dyDescent="0.3">
      <c r="B314" s="16"/>
      <c r="C314" s="16"/>
    </row>
    <row r="315" spans="2:3" ht="16.5" hidden="1" customHeight="1" x14ac:dyDescent="0.3">
      <c r="B315" s="16"/>
      <c r="C315" s="16"/>
    </row>
    <row r="316" spans="2:3" ht="16.5" hidden="1" customHeight="1" x14ac:dyDescent="0.3">
      <c r="B316" s="16"/>
      <c r="C316" s="16"/>
    </row>
    <row r="317" spans="2:3" ht="16.5" hidden="1" customHeight="1" x14ac:dyDescent="0.3">
      <c r="B317" s="16"/>
      <c r="C317" s="16"/>
    </row>
    <row r="318" spans="2:3" ht="16.5" hidden="1" customHeight="1" x14ac:dyDescent="0.3">
      <c r="B318" s="16"/>
      <c r="C318" s="16"/>
    </row>
    <row r="319" spans="2:3" ht="16.5" hidden="1" customHeight="1" x14ac:dyDescent="0.3">
      <c r="B319" s="16"/>
      <c r="C319" s="16"/>
    </row>
    <row r="320" spans="2:3" ht="16.5" hidden="1" customHeight="1" x14ac:dyDescent="0.3">
      <c r="B320" s="16"/>
      <c r="C320" s="16"/>
    </row>
    <row r="321" spans="2:3" ht="16.5" hidden="1" customHeight="1" x14ac:dyDescent="0.3">
      <c r="B321" s="16"/>
      <c r="C321" s="16"/>
    </row>
    <row r="322" spans="2:3" ht="16.5" hidden="1" customHeight="1" x14ac:dyDescent="0.3">
      <c r="B322" s="16"/>
      <c r="C322" s="16"/>
    </row>
    <row r="323" spans="2:3" ht="16.5" hidden="1" customHeight="1" x14ac:dyDescent="0.3">
      <c r="B323" s="16"/>
      <c r="C323" s="16"/>
    </row>
    <row r="324" spans="2:3" ht="16.5" hidden="1" customHeight="1" x14ac:dyDescent="0.3">
      <c r="B324" s="16"/>
      <c r="C324" s="16"/>
    </row>
    <row r="325" spans="2:3" ht="16.5" hidden="1" customHeight="1" x14ac:dyDescent="0.3">
      <c r="B325" s="16"/>
      <c r="C325" s="16"/>
    </row>
    <row r="326" spans="2:3" ht="16.5" hidden="1" customHeight="1" x14ac:dyDescent="0.3">
      <c r="B326" s="16"/>
      <c r="C326" s="16"/>
    </row>
    <row r="327" spans="2:3" ht="16.5" hidden="1" customHeight="1" x14ac:dyDescent="0.3">
      <c r="B327" s="16"/>
      <c r="C327" s="16"/>
    </row>
    <row r="328" spans="2:3" ht="16.5" hidden="1" customHeight="1" x14ac:dyDescent="0.3">
      <c r="B328" s="16"/>
      <c r="C328" s="16"/>
    </row>
    <row r="329" spans="2:3" ht="16.5" hidden="1" customHeight="1" x14ac:dyDescent="0.3">
      <c r="B329" s="16"/>
      <c r="C329" s="16"/>
    </row>
    <row r="330" spans="2:3" ht="16.5" hidden="1" customHeight="1" x14ac:dyDescent="0.3">
      <c r="B330" s="16"/>
      <c r="C330" s="16"/>
    </row>
    <row r="331" spans="2:3" ht="16.5" hidden="1" customHeight="1" x14ac:dyDescent="0.3">
      <c r="B331" s="16"/>
      <c r="C331" s="16"/>
    </row>
    <row r="332" spans="2:3" ht="16.5" hidden="1" customHeight="1" x14ac:dyDescent="0.3">
      <c r="B332" s="16"/>
      <c r="C332" s="16"/>
    </row>
    <row r="333" spans="2:3" ht="16.5" hidden="1" customHeight="1" x14ac:dyDescent="0.3">
      <c r="B333" s="16"/>
      <c r="C333" s="16"/>
    </row>
    <row r="334" spans="2:3" ht="16.5" hidden="1" customHeight="1" x14ac:dyDescent="0.3">
      <c r="B334" s="16"/>
      <c r="C334" s="16"/>
    </row>
    <row r="335" spans="2:3" ht="16.5" hidden="1" customHeight="1" x14ac:dyDescent="0.3">
      <c r="B335" s="16"/>
      <c r="C335" s="16"/>
    </row>
    <row r="336" spans="2:3" ht="16.5" hidden="1" customHeight="1" x14ac:dyDescent="0.3">
      <c r="B336" s="16"/>
      <c r="C336" s="16"/>
    </row>
    <row r="337" spans="2:3" ht="16.5" hidden="1" customHeight="1" x14ac:dyDescent="0.3">
      <c r="B337" s="16"/>
      <c r="C337" s="16"/>
    </row>
    <row r="338" spans="2:3" ht="16.5" hidden="1" customHeight="1" x14ac:dyDescent="0.3">
      <c r="B338" s="16"/>
      <c r="C338" s="16"/>
    </row>
    <row r="339" spans="2:3" ht="16.5" hidden="1" customHeight="1" x14ac:dyDescent="0.3">
      <c r="B339" s="16"/>
      <c r="C339" s="16"/>
    </row>
    <row r="340" spans="2:3" ht="16.5" hidden="1" customHeight="1" x14ac:dyDescent="0.3">
      <c r="B340" s="16"/>
      <c r="C340" s="16"/>
    </row>
    <row r="341" spans="2:3" ht="16.5" hidden="1" customHeight="1" x14ac:dyDescent="0.3">
      <c r="B341" s="16"/>
      <c r="C341" s="16"/>
    </row>
    <row r="342" spans="2:3" ht="16.5" hidden="1" customHeight="1" x14ac:dyDescent="0.3">
      <c r="B342" s="16"/>
      <c r="C342" s="16"/>
    </row>
    <row r="343" spans="2:3" ht="16.5" hidden="1" customHeight="1" x14ac:dyDescent="0.3">
      <c r="B343" s="16"/>
      <c r="C343" s="16"/>
    </row>
    <row r="344" spans="2:3" ht="16.5" hidden="1" customHeight="1" x14ac:dyDescent="0.3">
      <c r="B344" s="16"/>
      <c r="C344" s="16"/>
    </row>
    <row r="345" spans="2:3" ht="16.5" hidden="1" customHeight="1" x14ac:dyDescent="0.3">
      <c r="B345" s="16"/>
      <c r="C345" s="16"/>
    </row>
    <row r="346" spans="2:3" ht="16.5" hidden="1" customHeight="1" x14ac:dyDescent="0.3">
      <c r="B346" s="16"/>
      <c r="C346" s="16"/>
    </row>
    <row r="347" spans="2:3" ht="16.5" hidden="1" customHeight="1" x14ac:dyDescent="0.3">
      <c r="B347" s="16"/>
      <c r="C347" s="16"/>
    </row>
    <row r="348" spans="2:3" ht="16.5" hidden="1" customHeight="1" x14ac:dyDescent="0.3">
      <c r="B348" s="16"/>
      <c r="C348" s="16"/>
    </row>
    <row r="349" spans="2:3" ht="16.5" hidden="1" customHeight="1" x14ac:dyDescent="0.3">
      <c r="B349" s="16"/>
      <c r="C349" s="16"/>
    </row>
    <row r="350" spans="2:3" ht="16.5" hidden="1" customHeight="1" x14ac:dyDescent="0.3">
      <c r="B350" s="16"/>
      <c r="C350" s="16"/>
    </row>
    <row r="351" spans="2:3" ht="16.5" hidden="1" customHeight="1" x14ac:dyDescent="0.3">
      <c r="B351" s="16"/>
      <c r="C351" s="16"/>
    </row>
    <row r="352" spans="2:3" ht="16.5" hidden="1" customHeight="1" x14ac:dyDescent="0.3">
      <c r="B352" s="16"/>
      <c r="C352" s="16"/>
    </row>
    <row r="353" spans="2:3" ht="16.5" hidden="1" customHeight="1" x14ac:dyDescent="0.3">
      <c r="B353" s="16"/>
      <c r="C353" s="16"/>
    </row>
    <row r="354" spans="2:3" ht="16.5" hidden="1" customHeight="1" x14ac:dyDescent="0.3">
      <c r="B354" s="16"/>
      <c r="C354" s="16"/>
    </row>
    <row r="355" spans="2:3" ht="16.5" hidden="1" customHeight="1" x14ac:dyDescent="0.3">
      <c r="B355" s="16"/>
      <c r="C355" s="16"/>
    </row>
    <row r="356" spans="2:3" ht="16.5" hidden="1" customHeight="1" x14ac:dyDescent="0.3">
      <c r="B356" s="16"/>
      <c r="C356" s="16"/>
    </row>
    <row r="357" spans="2:3" ht="16.5" hidden="1" customHeight="1" x14ac:dyDescent="0.3">
      <c r="B357" s="16"/>
      <c r="C357" s="16"/>
    </row>
    <row r="358" spans="2:3" ht="16.5" hidden="1" customHeight="1" x14ac:dyDescent="0.3">
      <c r="B358" s="16"/>
      <c r="C358" s="16"/>
    </row>
    <row r="359" spans="2:3" ht="16.5" hidden="1" customHeight="1" x14ac:dyDescent="0.3">
      <c r="B359" s="16"/>
      <c r="C359" s="16"/>
    </row>
    <row r="360" spans="2:3" ht="16.5" hidden="1" customHeight="1" x14ac:dyDescent="0.3">
      <c r="B360" s="16"/>
      <c r="C360" s="16"/>
    </row>
    <row r="361" spans="2:3" ht="16.5" hidden="1" customHeight="1" x14ac:dyDescent="0.3">
      <c r="B361" s="16"/>
      <c r="C361" s="16"/>
    </row>
    <row r="362" spans="2:3" ht="16.5" hidden="1" customHeight="1" x14ac:dyDescent="0.3">
      <c r="B362" s="16"/>
      <c r="C362" s="16"/>
    </row>
    <row r="363" spans="2:3" ht="16.5" hidden="1" customHeight="1" x14ac:dyDescent="0.3">
      <c r="B363" s="16"/>
      <c r="C363" s="16"/>
    </row>
    <row r="364" spans="2:3" ht="16.5" hidden="1" customHeight="1" x14ac:dyDescent="0.3">
      <c r="B364" s="16"/>
      <c r="C364" s="16"/>
    </row>
    <row r="365" spans="2:3" ht="16.5" hidden="1" customHeight="1" x14ac:dyDescent="0.3">
      <c r="B365" s="16"/>
      <c r="C365" s="16"/>
    </row>
    <row r="366" spans="2:3" ht="16.5" hidden="1" customHeight="1" x14ac:dyDescent="0.3">
      <c r="B366" s="16"/>
      <c r="C366" s="16"/>
    </row>
    <row r="367" spans="2:3" ht="16.5" hidden="1" customHeight="1" x14ac:dyDescent="0.3">
      <c r="B367" s="16"/>
      <c r="C367" s="16"/>
    </row>
    <row r="368" spans="2:3" ht="16.5" hidden="1" customHeight="1" x14ac:dyDescent="0.3">
      <c r="B368" s="16"/>
      <c r="C368" s="16"/>
    </row>
    <row r="369" spans="2:3" ht="16.5" hidden="1" customHeight="1" x14ac:dyDescent="0.3">
      <c r="B369" s="16"/>
      <c r="C369" s="16"/>
    </row>
    <row r="370" spans="2:3" ht="16.5" hidden="1" customHeight="1" x14ac:dyDescent="0.3">
      <c r="B370" s="16"/>
      <c r="C370" s="16"/>
    </row>
    <row r="371" spans="2:3" ht="16.5" hidden="1" customHeight="1" x14ac:dyDescent="0.3">
      <c r="B371" s="16"/>
      <c r="C371" s="16"/>
    </row>
    <row r="372" spans="2:3" ht="16.5" hidden="1" customHeight="1" x14ac:dyDescent="0.3">
      <c r="B372" s="16"/>
      <c r="C372" s="16"/>
    </row>
    <row r="373" spans="2:3" ht="16.5" hidden="1" customHeight="1" x14ac:dyDescent="0.3">
      <c r="B373" s="16"/>
      <c r="C373" s="16"/>
    </row>
    <row r="374" spans="2:3" ht="16.5" hidden="1" customHeight="1" x14ac:dyDescent="0.3">
      <c r="B374" s="16"/>
      <c r="C374" s="16"/>
    </row>
    <row r="375" spans="2:3" ht="16.5" hidden="1" customHeight="1" x14ac:dyDescent="0.3">
      <c r="B375" s="16"/>
      <c r="C375" s="16"/>
    </row>
    <row r="376" spans="2:3" ht="16.5" hidden="1" customHeight="1" x14ac:dyDescent="0.3">
      <c r="B376" s="16"/>
      <c r="C376" s="16"/>
    </row>
    <row r="377" spans="2:3" ht="16.5" hidden="1" customHeight="1" x14ac:dyDescent="0.3">
      <c r="B377" s="16"/>
      <c r="C377" s="16"/>
    </row>
    <row r="378" spans="2:3" ht="16.5" hidden="1" customHeight="1" x14ac:dyDescent="0.3">
      <c r="B378" s="16"/>
      <c r="C378" s="16"/>
    </row>
    <row r="379" spans="2:3" ht="16.5" hidden="1" customHeight="1" x14ac:dyDescent="0.3">
      <c r="B379" s="16"/>
      <c r="C379" s="16"/>
    </row>
    <row r="380" spans="2:3" ht="16.5" hidden="1" customHeight="1" x14ac:dyDescent="0.3">
      <c r="B380" s="16"/>
      <c r="C380" s="16"/>
    </row>
    <row r="381" spans="2:3" ht="16.5" hidden="1" customHeight="1" x14ac:dyDescent="0.3">
      <c r="B381" s="16"/>
      <c r="C381" s="16"/>
    </row>
    <row r="382" spans="2:3" ht="16.5" hidden="1" customHeight="1" x14ac:dyDescent="0.3">
      <c r="B382" s="16"/>
      <c r="C382" s="16"/>
    </row>
    <row r="383" spans="2:3" ht="16.5" hidden="1" customHeight="1" x14ac:dyDescent="0.3">
      <c r="B383" s="16"/>
      <c r="C383" s="16"/>
    </row>
    <row r="384" spans="2:3" ht="16.5" hidden="1" customHeight="1" x14ac:dyDescent="0.3">
      <c r="B384" s="16"/>
      <c r="C384" s="16"/>
    </row>
    <row r="385" spans="2:3" ht="16.5" hidden="1" customHeight="1" x14ac:dyDescent="0.3">
      <c r="B385" s="16"/>
      <c r="C385" s="16"/>
    </row>
    <row r="386" spans="2:3" ht="16.5" hidden="1" customHeight="1" x14ac:dyDescent="0.3">
      <c r="B386" s="16"/>
      <c r="C386" s="16"/>
    </row>
    <row r="387" spans="2:3" ht="16.5" hidden="1" customHeight="1" x14ac:dyDescent="0.3">
      <c r="B387" s="16"/>
      <c r="C387" s="16"/>
    </row>
    <row r="388" spans="2:3" ht="16.5" hidden="1" customHeight="1" x14ac:dyDescent="0.3">
      <c r="B388" s="16"/>
      <c r="C388" s="16"/>
    </row>
    <row r="389" spans="2:3" ht="16.5" hidden="1" customHeight="1" x14ac:dyDescent="0.3">
      <c r="B389" s="16"/>
      <c r="C389" s="16"/>
    </row>
    <row r="390" spans="2:3" ht="16.5" hidden="1" customHeight="1" x14ac:dyDescent="0.3">
      <c r="B390" s="16"/>
      <c r="C390" s="16"/>
    </row>
    <row r="391" spans="2:3" ht="16.5" hidden="1" customHeight="1" x14ac:dyDescent="0.3">
      <c r="B391" s="16"/>
      <c r="C391" s="16"/>
    </row>
    <row r="392" spans="2:3" ht="16.5" hidden="1" customHeight="1" x14ac:dyDescent="0.3">
      <c r="B392" s="16"/>
      <c r="C392" s="16"/>
    </row>
    <row r="393" spans="2:3" ht="16.5" hidden="1" customHeight="1" x14ac:dyDescent="0.3">
      <c r="B393" s="16"/>
      <c r="C393" s="16"/>
    </row>
    <row r="394" spans="2:3" ht="16.5" hidden="1" customHeight="1" x14ac:dyDescent="0.3">
      <c r="B394" s="16"/>
      <c r="C394" s="16"/>
    </row>
    <row r="395" spans="2:3" ht="16.5" hidden="1" customHeight="1" x14ac:dyDescent="0.3">
      <c r="B395" s="16"/>
      <c r="C395" s="16"/>
    </row>
    <row r="396" spans="2:3" ht="16.5" hidden="1" customHeight="1" x14ac:dyDescent="0.3">
      <c r="B396" s="16"/>
      <c r="C396" s="16"/>
    </row>
    <row r="397" spans="2:3" ht="16.5" hidden="1" customHeight="1" x14ac:dyDescent="0.3">
      <c r="B397" s="16"/>
      <c r="C397" s="16"/>
    </row>
    <row r="398" spans="2:3" ht="16.5" hidden="1" customHeight="1" x14ac:dyDescent="0.3">
      <c r="B398" s="16"/>
      <c r="C398" s="16"/>
    </row>
    <row r="399" spans="2:3" ht="16.5" hidden="1" customHeight="1" x14ac:dyDescent="0.3">
      <c r="B399" s="16"/>
      <c r="C399" s="16"/>
    </row>
    <row r="400" spans="2:3" ht="16.5" hidden="1" customHeight="1" x14ac:dyDescent="0.3">
      <c r="B400" s="16"/>
      <c r="C400" s="16"/>
    </row>
    <row r="401" spans="2:3" ht="16.5" hidden="1" customHeight="1" x14ac:dyDescent="0.3">
      <c r="B401" s="16"/>
      <c r="C401" s="16"/>
    </row>
    <row r="402" spans="2:3" ht="16.5" hidden="1" customHeight="1" x14ac:dyDescent="0.3">
      <c r="B402" s="16"/>
      <c r="C402" s="16"/>
    </row>
    <row r="403" spans="2:3" ht="16.5" hidden="1" customHeight="1" x14ac:dyDescent="0.3">
      <c r="B403" s="16"/>
      <c r="C403" s="16"/>
    </row>
    <row r="404" spans="2:3" ht="16.5" hidden="1" customHeight="1" x14ac:dyDescent="0.3">
      <c r="B404" s="16"/>
      <c r="C404" s="16"/>
    </row>
    <row r="405" spans="2:3" ht="16.5" hidden="1" customHeight="1" x14ac:dyDescent="0.3">
      <c r="B405" s="16"/>
      <c r="C405" s="16"/>
    </row>
    <row r="406" spans="2:3" ht="16.5" hidden="1" customHeight="1" x14ac:dyDescent="0.3">
      <c r="B406" s="16"/>
      <c r="C406" s="16"/>
    </row>
    <row r="407" spans="2:3" ht="16.5" hidden="1" customHeight="1" x14ac:dyDescent="0.3">
      <c r="B407" s="16"/>
      <c r="C407" s="16"/>
    </row>
    <row r="408" spans="2:3" ht="16.5" hidden="1" customHeight="1" x14ac:dyDescent="0.3">
      <c r="B408" s="16"/>
      <c r="C408" s="16"/>
    </row>
    <row r="409" spans="2:3" ht="16.5" hidden="1" customHeight="1" x14ac:dyDescent="0.3">
      <c r="B409" s="16"/>
      <c r="C409" s="16"/>
    </row>
    <row r="410" spans="2:3" ht="16.5" hidden="1" customHeight="1" x14ac:dyDescent="0.3">
      <c r="B410" s="16"/>
      <c r="C410" s="16"/>
    </row>
    <row r="411" spans="2:3" ht="16.5" hidden="1" customHeight="1" x14ac:dyDescent="0.3">
      <c r="B411" s="16"/>
      <c r="C411" s="16"/>
    </row>
    <row r="412" spans="2:3" ht="16.5" hidden="1" customHeight="1" x14ac:dyDescent="0.3">
      <c r="B412" s="16"/>
      <c r="C412" s="16"/>
    </row>
    <row r="413" spans="2:3" ht="16.5" hidden="1" customHeight="1" x14ac:dyDescent="0.3">
      <c r="B413" s="16"/>
      <c r="C413" s="16"/>
    </row>
    <row r="414" spans="2:3" ht="16.5" hidden="1" customHeight="1" x14ac:dyDescent="0.3">
      <c r="B414" s="16"/>
      <c r="C414" s="16"/>
    </row>
    <row r="415" spans="2:3" ht="16.5" hidden="1" customHeight="1" x14ac:dyDescent="0.3">
      <c r="B415" s="16"/>
      <c r="C415" s="16"/>
    </row>
    <row r="416" spans="2:3" ht="16.5" hidden="1" customHeight="1" x14ac:dyDescent="0.3">
      <c r="B416" s="16"/>
      <c r="C416" s="16"/>
    </row>
    <row r="417" spans="2:3" ht="16.5" hidden="1" customHeight="1" x14ac:dyDescent="0.3">
      <c r="B417" s="16"/>
      <c r="C417" s="16"/>
    </row>
    <row r="418" spans="2:3" ht="16.5" hidden="1" customHeight="1" x14ac:dyDescent="0.3">
      <c r="B418" s="16"/>
      <c r="C418" s="16"/>
    </row>
    <row r="419" spans="2:3" ht="16.5" hidden="1" customHeight="1" x14ac:dyDescent="0.3">
      <c r="B419" s="16"/>
      <c r="C419" s="16"/>
    </row>
    <row r="420" spans="2:3" ht="16.5" hidden="1" customHeight="1" x14ac:dyDescent="0.3">
      <c r="B420" s="16"/>
      <c r="C420" s="16"/>
    </row>
    <row r="421" spans="2:3" ht="16.5" hidden="1" customHeight="1" x14ac:dyDescent="0.3">
      <c r="B421" s="16"/>
      <c r="C421" s="16"/>
    </row>
    <row r="422" spans="2:3" ht="16.5" hidden="1" customHeight="1" x14ac:dyDescent="0.3">
      <c r="B422" s="16"/>
      <c r="C422" s="16"/>
    </row>
    <row r="423" spans="2:3" ht="16.5" hidden="1" customHeight="1" x14ac:dyDescent="0.3">
      <c r="B423" s="16"/>
      <c r="C423" s="16"/>
    </row>
    <row r="424" spans="2:3" ht="16.5" hidden="1" customHeight="1" x14ac:dyDescent="0.3">
      <c r="B424" s="16"/>
      <c r="C424" s="16"/>
    </row>
    <row r="425" spans="2:3" ht="16.5" hidden="1" customHeight="1" x14ac:dyDescent="0.3">
      <c r="B425" s="16"/>
      <c r="C425" s="16"/>
    </row>
    <row r="426" spans="2:3" ht="16.5" hidden="1" customHeight="1" x14ac:dyDescent="0.3">
      <c r="B426" s="16"/>
      <c r="C426" s="16"/>
    </row>
    <row r="427" spans="2:3" ht="16.5" hidden="1" customHeight="1" x14ac:dyDescent="0.3">
      <c r="B427" s="16"/>
      <c r="C427" s="16"/>
    </row>
    <row r="428" spans="2:3" ht="16.5" hidden="1" customHeight="1" x14ac:dyDescent="0.3">
      <c r="B428" s="16"/>
      <c r="C428" s="16"/>
    </row>
    <row r="429" spans="2:3" ht="16.5" hidden="1" customHeight="1" x14ac:dyDescent="0.3">
      <c r="B429" s="16"/>
      <c r="C429" s="16"/>
    </row>
    <row r="430" spans="2:3" ht="16.5" hidden="1" customHeight="1" x14ac:dyDescent="0.3">
      <c r="B430" s="16"/>
      <c r="C430" s="16"/>
    </row>
    <row r="431" spans="2:3" ht="16.5" hidden="1" customHeight="1" x14ac:dyDescent="0.3">
      <c r="B431" s="16"/>
      <c r="C431" s="16"/>
    </row>
    <row r="432" spans="2:3" ht="16.5" hidden="1" customHeight="1" x14ac:dyDescent="0.3">
      <c r="B432" s="16"/>
      <c r="C432" s="16"/>
    </row>
    <row r="433" spans="2:3" ht="16.5" hidden="1" customHeight="1" x14ac:dyDescent="0.3">
      <c r="B433" s="16"/>
      <c r="C433" s="16"/>
    </row>
    <row r="434" spans="2:3" ht="16.5" hidden="1" customHeight="1" x14ac:dyDescent="0.3">
      <c r="B434" s="16"/>
      <c r="C434" s="16"/>
    </row>
    <row r="435" spans="2:3" ht="16.5" hidden="1" customHeight="1" x14ac:dyDescent="0.3">
      <c r="B435" s="16"/>
      <c r="C435" s="16"/>
    </row>
    <row r="436" spans="2:3" ht="16.5" hidden="1" customHeight="1" x14ac:dyDescent="0.3">
      <c r="B436" s="16"/>
      <c r="C436" s="16"/>
    </row>
    <row r="437" spans="2:3" ht="16.5" hidden="1" customHeight="1" x14ac:dyDescent="0.3">
      <c r="B437" s="16"/>
      <c r="C437" s="16"/>
    </row>
    <row r="438" spans="2:3" ht="16.5" hidden="1" customHeight="1" x14ac:dyDescent="0.3">
      <c r="B438" s="16"/>
      <c r="C438" s="16"/>
    </row>
    <row r="439" spans="2:3" ht="16.5" hidden="1" customHeight="1" x14ac:dyDescent="0.3">
      <c r="B439" s="16"/>
      <c r="C439" s="16"/>
    </row>
    <row r="440" spans="2:3" ht="16.5" hidden="1" customHeight="1" x14ac:dyDescent="0.3">
      <c r="B440" s="16"/>
      <c r="C440" s="16"/>
    </row>
    <row r="441" spans="2:3" ht="16.5" hidden="1" customHeight="1" x14ac:dyDescent="0.3">
      <c r="B441" s="16"/>
      <c r="C441" s="16"/>
    </row>
    <row r="442" spans="2:3" ht="16.5" hidden="1" customHeight="1" x14ac:dyDescent="0.3">
      <c r="B442" s="16"/>
      <c r="C442" s="16"/>
    </row>
    <row r="443" spans="2:3" ht="16.5" hidden="1" customHeight="1" x14ac:dyDescent="0.3">
      <c r="B443" s="16"/>
      <c r="C443" s="16"/>
    </row>
    <row r="444" spans="2:3" ht="16.5" hidden="1" customHeight="1" x14ac:dyDescent="0.3">
      <c r="B444" s="16"/>
      <c r="C444" s="16"/>
    </row>
    <row r="445" spans="2:3" ht="16.5" hidden="1" customHeight="1" x14ac:dyDescent="0.3">
      <c r="B445" s="16"/>
      <c r="C445" s="16"/>
    </row>
    <row r="446" spans="2:3" ht="16.5" hidden="1" customHeight="1" x14ac:dyDescent="0.3">
      <c r="B446" s="16"/>
      <c r="C446" s="16"/>
    </row>
    <row r="447" spans="2:3" ht="16.5" hidden="1" customHeight="1" x14ac:dyDescent="0.3">
      <c r="B447" s="16"/>
      <c r="C447" s="16"/>
    </row>
    <row r="448" spans="2:3" ht="16.5" hidden="1" customHeight="1" x14ac:dyDescent="0.3">
      <c r="B448" s="16"/>
      <c r="C448" s="16"/>
    </row>
    <row r="449" spans="2:3" ht="16.5" hidden="1" customHeight="1" x14ac:dyDescent="0.3">
      <c r="B449" s="16"/>
      <c r="C449" s="16"/>
    </row>
    <row r="450" spans="2:3" ht="16.5" hidden="1" customHeight="1" x14ac:dyDescent="0.3">
      <c r="B450" s="16"/>
      <c r="C450" s="16"/>
    </row>
    <row r="451" spans="2:3" ht="16.5" hidden="1" customHeight="1" x14ac:dyDescent="0.3">
      <c r="B451" s="16"/>
      <c r="C451" s="16"/>
    </row>
    <row r="452" spans="2:3" ht="16.5" hidden="1" customHeight="1" x14ac:dyDescent="0.3">
      <c r="B452" s="16"/>
      <c r="C452" s="16"/>
    </row>
    <row r="453" spans="2:3" ht="16.5" hidden="1" customHeight="1" x14ac:dyDescent="0.3">
      <c r="B453" s="16"/>
      <c r="C453" s="16"/>
    </row>
    <row r="454" spans="2:3" ht="16.5" hidden="1" customHeight="1" x14ac:dyDescent="0.3">
      <c r="B454" s="16"/>
      <c r="C454" s="16"/>
    </row>
    <row r="455" spans="2:3" ht="16.5" hidden="1" customHeight="1" x14ac:dyDescent="0.3">
      <c r="B455" s="16"/>
      <c r="C455" s="16"/>
    </row>
    <row r="456" spans="2:3" ht="16.5" hidden="1" customHeight="1" x14ac:dyDescent="0.3">
      <c r="B456" s="16"/>
      <c r="C456" s="16"/>
    </row>
    <row r="457" spans="2:3" ht="16.5" hidden="1" customHeight="1" x14ac:dyDescent="0.3">
      <c r="B457" s="16"/>
      <c r="C457" s="16"/>
    </row>
    <row r="458" spans="2:3" ht="16.5" hidden="1" customHeight="1" x14ac:dyDescent="0.3">
      <c r="B458" s="16"/>
      <c r="C458" s="16"/>
    </row>
    <row r="459" spans="2:3" ht="16.5" hidden="1" customHeight="1" x14ac:dyDescent="0.3">
      <c r="B459" s="16"/>
      <c r="C459" s="16"/>
    </row>
    <row r="460" spans="2:3" ht="16.5" hidden="1" customHeight="1" x14ac:dyDescent="0.3">
      <c r="B460" s="16"/>
      <c r="C460" s="16"/>
    </row>
    <row r="461" spans="2:3" ht="16.5" hidden="1" customHeight="1" x14ac:dyDescent="0.3">
      <c r="B461" s="16"/>
      <c r="C461" s="16"/>
    </row>
    <row r="462" spans="2:3" ht="16.5" hidden="1" customHeight="1" x14ac:dyDescent="0.3">
      <c r="B462" s="16"/>
      <c r="C462" s="16"/>
    </row>
    <row r="463" spans="2:3" ht="16.5" hidden="1" customHeight="1" x14ac:dyDescent="0.3">
      <c r="B463" s="16"/>
      <c r="C463" s="16"/>
    </row>
    <row r="464" spans="2:3" ht="16.5" hidden="1" customHeight="1" x14ac:dyDescent="0.3">
      <c r="B464" s="16"/>
      <c r="C464" s="16"/>
    </row>
    <row r="465" spans="2:3" ht="16.5" hidden="1" customHeight="1" x14ac:dyDescent="0.3">
      <c r="B465" s="16"/>
      <c r="C465" s="16"/>
    </row>
    <row r="466" spans="2:3" ht="16.5" hidden="1" customHeight="1" x14ac:dyDescent="0.3">
      <c r="B466" s="16"/>
      <c r="C466" s="16"/>
    </row>
    <row r="467" spans="2:3" ht="16.5" hidden="1" customHeight="1" x14ac:dyDescent="0.3">
      <c r="B467" s="16"/>
      <c r="C467" s="16"/>
    </row>
    <row r="468" spans="2:3" ht="16.5" hidden="1" customHeight="1" x14ac:dyDescent="0.3">
      <c r="B468" s="16"/>
      <c r="C468" s="16"/>
    </row>
    <row r="469" spans="2:3" ht="16.5" hidden="1" customHeight="1" x14ac:dyDescent="0.3">
      <c r="B469" s="16"/>
      <c r="C469" s="16"/>
    </row>
    <row r="470" spans="2:3" ht="16.5" hidden="1" customHeight="1" x14ac:dyDescent="0.3">
      <c r="B470" s="16"/>
      <c r="C470" s="16"/>
    </row>
    <row r="471" spans="2:3" ht="16.5" hidden="1" customHeight="1" x14ac:dyDescent="0.3">
      <c r="B471" s="16"/>
      <c r="C471" s="16"/>
    </row>
    <row r="472" spans="2:3" ht="16.5" hidden="1" customHeight="1" x14ac:dyDescent="0.3">
      <c r="B472" s="16"/>
      <c r="C472" s="16"/>
    </row>
    <row r="473" spans="2:3" ht="16.5" hidden="1" customHeight="1" x14ac:dyDescent="0.3">
      <c r="B473" s="16"/>
      <c r="C473" s="16"/>
    </row>
    <row r="474" spans="2:3" ht="16.5" hidden="1" customHeight="1" x14ac:dyDescent="0.3">
      <c r="B474" s="16"/>
      <c r="C474" s="16"/>
    </row>
    <row r="475" spans="2:3" ht="16.5" hidden="1" customHeight="1" x14ac:dyDescent="0.3">
      <c r="B475" s="16"/>
      <c r="C475" s="16"/>
    </row>
    <row r="476" spans="2:3" ht="16.5" hidden="1" customHeight="1" x14ac:dyDescent="0.3">
      <c r="B476" s="16"/>
      <c r="C476" s="16"/>
    </row>
    <row r="477" spans="2:3" ht="16.5" hidden="1" customHeight="1" x14ac:dyDescent="0.3">
      <c r="B477" s="16"/>
      <c r="C477" s="16"/>
    </row>
    <row r="478" spans="2:3" ht="16.5" hidden="1" customHeight="1" x14ac:dyDescent="0.3">
      <c r="B478" s="16"/>
      <c r="C478" s="16"/>
    </row>
    <row r="479" spans="2:3" ht="16.5" hidden="1" customHeight="1" x14ac:dyDescent="0.3">
      <c r="B479" s="16"/>
      <c r="C479" s="16"/>
    </row>
    <row r="480" spans="2:3" ht="16.5" hidden="1" customHeight="1" x14ac:dyDescent="0.3">
      <c r="B480" s="16"/>
      <c r="C480" s="16"/>
    </row>
    <row r="481" spans="2:3" ht="16.5" hidden="1" customHeight="1" x14ac:dyDescent="0.3">
      <c r="B481" s="16"/>
      <c r="C481" s="16"/>
    </row>
    <row r="482" spans="2:3" ht="16.5" hidden="1" customHeight="1" x14ac:dyDescent="0.3">
      <c r="B482" s="16"/>
      <c r="C482" s="16"/>
    </row>
    <row r="483" spans="2:3" ht="16.5" hidden="1" customHeight="1" x14ac:dyDescent="0.3">
      <c r="B483" s="16"/>
      <c r="C483" s="16"/>
    </row>
    <row r="484" spans="2:3" ht="16.5" hidden="1" customHeight="1" x14ac:dyDescent="0.3">
      <c r="B484" s="16"/>
      <c r="C484" s="16"/>
    </row>
    <row r="485" spans="2:3" ht="16.5" hidden="1" customHeight="1" x14ac:dyDescent="0.3">
      <c r="B485" s="16"/>
      <c r="C485" s="16"/>
    </row>
    <row r="486" spans="2:3" ht="16.5" hidden="1" customHeight="1" x14ac:dyDescent="0.3">
      <c r="B486" s="16"/>
      <c r="C486" s="16"/>
    </row>
    <row r="487" spans="2:3" ht="16.5" hidden="1" customHeight="1" x14ac:dyDescent="0.3">
      <c r="B487" s="16"/>
      <c r="C487" s="16"/>
    </row>
    <row r="488" spans="2:3" ht="16.5" hidden="1" customHeight="1" x14ac:dyDescent="0.3">
      <c r="B488" s="16"/>
      <c r="C488" s="16"/>
    </row>
    <row r="489" spans="2:3" ht="16.5" hidden="1" customHeight="1" x14ac:dyDescent="0.3">
      <c r="B489" s="16"/>
      <c r="C489" s="16"/>
    </row>
    <row r="490" spans="2:3" ht="16.5" hidden="1" customHeight="1" x14ac:dyDescent="0.3">
      <c r="B490" s="16"/>
      <c r="C490" s="16"/>
    </row>
    <row r="491" spans="2:3" ht="16.5" hidden="1" customHeight="1" x14ac:dyDescent="0.3">
      <c r="B491" s="16"/>
      <c r="C491" s="16"/>
    </row>
    <row r="492" spans="2:3" ht="16.5" hidden="1" customHeight="1" x14ac:dyDescent="0.3">
      <c r="B492" s="16"/>
      <c r="C492" s="16"/>
    </row>
    <row r="493" spans="2:3" ht="16.5" hidden="1" customHeight="1" x14ac:dyDescent="0.3">
      <c r="B493" s="16"/>
      <c r="C493" s="16"/>
    </row>
    <row r="494" spans="2:3" ht="16.5" hidden="1" customHeight="1" x14ac:dyDescent="0.3">
      <c r="B494" s="16"/>
      <c r="C494" s="16"/>
    </row>
    <row r="495" spans="2:3" ht="16.5" hidden="1" customHeight="1" x14ac:dyDescent="0.3">
      <c r="B495" s="16"/>
      <c r="C495" s="16"/>
    </row>
    <row r="496" spans="2:3" ht="16.5" hidden="1" customHeight="1" x14ac:dyDescent="0.3">
      <c r="B496" s="16"/>
      <c r="C496" s="16"/>
    </row>
    <row r="497" spans="2:3" ht="16.5" hidden="1" customHeight="1" x14ac:dyDescent="0.3">
      <c r="B497" s="16"/>
      <c r="C497" s="16"/>
    </row>
    <row r="498" spans="2:3" ht="16.5" hidden="1" customHeight="1" x14ac:dyDescent="0.3">
      <c r="B498" s="16"/>
      <c r="C498" s="16"/>
    </row>
    <row r="499" spans="2:3" ht="16.5" hidden="1" customHeight="1" x14ac:dyDescent="0.3">
      <c r="B499" s="16"/>
      <c r="C499" s="16"/>
    </row>
    <row r="500" spans="2:3" ht="16.5" hidden="1" customHeight="1" x14ac:dyDescent="0.3">
      <c r="B500" s="16"/>
      <c r="C500" s="16"/>
    </row>
    <row r="501" spans="2:3" ht="16.5" hidden="1" customHeight="1" x14ac:dyDescent="0.3">
      <c r="B501" s="16"/>
      <c r="C501" s="16"/>
    </row>
    <row r="502" spans="2:3" ht="16.5" hidden="1" customHeight="1" x14ac:dyDescent="0.3">
      <c r="B502" s="16"/>
      <c r="C502" s="16"/>
    </row>
    <row r="503" spans="2:3" ht="16.5" hidden="1" customHeight="1" x14ac:dyDescent="0.3">
      <c r="B503" s="16"/>
      <c r="C503" s="16"/>
    </row>
    <row r="504" spans="2:3" ht="16.5" hidden="1" customHeight="1" x14ac:dyDescent="0.3">
      <c r="B504" s="16"/>
      <c r="C504" s="16"/>
    </row>
    <row r="505" spans="2:3" ht="16.5" hidden="1" customHeight="1" x14ac:dyDescent="0.3">
      <c r="B505" s="16"/>
      <c r="C505" s="16"/>
    </row>
    <row r="506" spans="2:3" ht="16.5" hidden="1" customHeight="1" x14ac:dyDescent="0.3">
      <c r="B506" s="16"/>
      <c r="C506" s="16"/>
    </row>
    <row r="507" spans="2:3" ht="16.5" hidden="1" customHeight="1" x14ac:dyDescent="0.3">
      <c r="B507" s="16"/>
      <c r="C507" s="16"/>
    </row>
    <row r="508" spans="2:3" ht="16.5" hidden="1" customHeight="1" x14ac:dyDescent="0.3">
      <c r="B508" s="16"/>
      <c r="C508" s="16"/>
    </row>
    <row r="509" spans="2:3" ht="16.5" hidden="1" customHeight="1" x14ac:dyDescent="0.3">
      <c r="B509" s="16"/>
      <c r="C509" s="16"/>
    </row>
    <row r="510" spans="2:3" ht="16.5" hidden="1" customHeight="1" x14ac:dyDescent="0.3">
      <c r="B510" s="16"/>
      <c r="C510" s="16"/>
    </row>
    <row r="511" spans="2:3" ht="16.5" hidden="1" customHeight="1" x14ac:dyDescent="0.3">
      <c r="B511" s="16"/>
      <c r="C511" s="16"/>
    </row>
    <row r="512" spans="2:3" ht="16.5" hidden="1" customHeight="1" x14ac:dyDescent="0.3">
      <c r="B512" s="16"/>
      <c r="C512" s="16"/>
    </row>
    <row r="513" spans="2:3" ht="16.5" hidden="1" customHeight="1" x14ac:dyDescent="0.3">
      <c r="B513" s="16"/>
      <c r="C513" s="16"/>
    </row>
    <row r="514" spans="2:3" ht="16.5" hidden="1" customHeight="1" x14ac:dyDescent="0.3">
      <c r="B514" s="16"/>
      <c r="C514" s="16"/>
    </row>
    <row r="515" spans="2:3" ht="16.5" hidden="1" customHeight="1" x14ac:dyDescent="0.3">
      <c r="B515" s="16"/>
      <c r="C515" s="16"/>
    </row>
    <row r="516" spans="2:3" ht="16.5" hidden="1" customHeight="1" x14ac:dyDescent="0.3">
      <c r="B516" s="16"/>
      <c r="C516" s="16"/>
    </row>
    <row r="517" spans="2:3" ht="16.5" hidden="1" customHeight="1" x14ac:dyDescent="0.3">
      <c r="B517" s="16"/>
      <c r="C517" s="16"/>
    </row>
    <row r="518" spans="2:3" ht="16.5" hidden="1" customHeight="1" x14ac:dyDescent="0.3">
      <c r="B518" s="16"/>
      <c r="C518" s="16"/>
    </row>
    <row r="519" spans="2:3" ht="16.5" hidden="1" customHeight="1" x14ac:dyDescent="0.3">
      <c r="B519" s="16"/>
      <c r="C519" s="16"/>
    </row>
    <row r="520" spans="2:3" ht="16.5" hidden="1" customHeight="1" x14ac:dyDescent="0.3">
      <c r="B520" s="16"/>
      <c r="C520" s="16"/>
    </row>
    <row r="521" spans="2:3" ht="16.5" hidden="1" customHeight="1" x14ac:dyDescent="0.3">
      <c r="B521" s="16"/>
      <c r="C521" s="16"/>
    </row>
    <row r="522" spans="2:3" ht="16.5" hidden="1" customHeight="1" x14ac:dyDescent="0.3">
      <c r="B522" s="16"/>
      <c r="C522" s="16"/>
    </row>
    <row r="523" spans="2:3" ht="16.5" hidden="1" customHeight="1" x14ac:dyDescent="0.3">
      <c r="B523" s="16"/>
      <c r="C523" s="16"/>
    </row>
    <row r="524" spans="2:3" ht="16.5" hidden="1" customHeight="1" x14ac:dyDescent="0.3">
      <c r="B524" s="16"/>
      <c r="C524" s="16"/>
    </row>
    <row r="525" spans="2:3" ht="16.5" hidden="1" customHeight="1" x14ac:dyDescent="0.3">
      <c r="B525" s="16"/>
      <c r="C525" s="16"/>
    </row>
    <row r="526" spans="2:3" ht="16.5" hidden="1" customHeight="1" x14ac:dyDescent="0.3">
      <c r="B526" s="16"/>
      <c r="C526" s="16"/>
    </row>
    <row r="527" spans="2:3" ht="16.5" hidden="1" customHeight="1" x14ac:dyDescent="0.3">
      <c r="B527" s="16"/>
      <c r="C527" s="16"/>
    </row>
    <row r="528" spans="2:3" ht="16.5" hidden="1" customHeight="1" x14ac:dyDescent="0.3">
      <c r="B528" s="16"/>
      <c r="C528" s="16"/>
    </row>
    <row r="529" spans="2:3" ht="16.5" hidden="1" customHeight="1" x14ac:dyDescent="0.3">
      <c r="B529" s="16"/>
      <c r="C529" s="16"/>
    </row>
    <row r="530" spans="2:3" ht="16.5" hidden="1" customHeight="1" x14ac:dyDescent="0.3">
      <c r="B530" s="16"/>
      <c r="C530" s="16"/>
    </row>
    <row r="531" spans="2:3" ht="16.5" hidden="1" customHeight="1" x14ac:dyDescent="0.3">
      <c r="B531" s="16"/>
      <c r="C531" s="16"/>
    </row>
    <row r="532" spans="2:3" ht="16.5" hidden="1" customHeight="1" x14ac:dyDescent="0.3">
      <c r="B532" s="16"/>
      <c r="C532" s="16"/>
    </row>
    <row r="533" spans="2:3" ht="16.5" hidden="1" customHeight="1" x14ac:dyDescent="0.3">
      <c r="B533" s="16"/>
      <c r="C533" s="16"/>
    </row>
    <row r="534" spans="2:3" ht="16.5" hidden="1" customHeight="1" x14ac:dyDescent="0.3">
      <c r="B534" s="16"/>
      <c r="C534" s="16"/>
    </row>
    <row r="535" spans="2:3" ht="16.5" hidden="1" customHeight="1" x14ac:dyDescent="0.3">
      <c r="B535" s="16"/>
      <c r="C535" s="16"/>
    </row>
    <row r="536" spans="2:3" ht="16.5" hidden="1" customHeight="1" x14ac:dyDescent="0.3">
      <c r="B536" s="16"/>
      <c r="C536" s="16"/>
    </row>
    <row r="537" spans="2:3" ht="16.5" hidden="1" customHeight="1" x14ac:dyDescent="0.3">
      <c r="B537" s="16"/>
      <c r="C537" s="16"/>
    </row>
    <row r="538" spans="2:3" ht="16.5" hidden="1" customHeight="1" x14ac:dyDescent="0.3">
      <c r="B538" s="16"/>
      <c r="C538" s="16"/>
    </row>
    <row r="539" spans="2:3" ht="16.5" hidden="1" customHeight="1" x14ac:dyDescent="0.3">
      <c r="B539" s="16"/>
      <c r="C539" s="16"/>
    </row>
    <row r="540" spans="2:3" ht="16.5" hidden="1" customHeight="1" x14ac:dyDescent="0.3">
      <c r="B540" s="16"/>
      <c r="C540" s="16"/>
    </row>
    <row r="541" spans="2:3" ht="16.5" hidden="1" customHeight="1" x14ac:dyDescent="0.3">
      <c r="B541" s="16"/>
      <c r="C541" s="16"/>
    </row>
    <row r="542" spans="2:3" ht="16.5" hidden="1" customHeight="1" x14ac:dyDescent="0.3">
      <c r="B542" s="16"/>
      <c r="C542" s="16"/>
    </row>
    <row r="543" spans="2:3" ht="16.5" hidden="1" customHeight="1" x14ac:dyDescent="0.3">
      <c r="B543" s="16"/>
      <c r="C543" s="16"/>
    </row>
    <row r="544" spans="2:3" ht="16.5" hidden="1" customHeight="1" x14ac:dyDescent="0.3">
      <c r="B544" s="16"/>
      <c r="C544" s="16"/>
    </row>
    <row r="545" spans="2:3" ht="16.5" hidden="1" customHeight="1" x14ac:dyDescent="0.3">
      <c r="B545" s="16"/>
      <c r="C545" s="16"/>
    </row>
    <row r="546" spans="2:3" ht="16.5" hidden="1" customHeight="1" x14ac:dyDescent="0.3">
      <c r="B546" s="16"/>
      <c r="C546" s="16"/>
    </row>
    <row r="547" spans="2:3" ht="16.5" hidden="1" customHeight="1" x14ac:dyDescent="0.3">
      <c r="B547" s="16"/>
      <c r="C547" s="16"/>
    </row>
    <row r="548" spans="2:3" ht="16.5" hidden="1" customHeight="1" x14ac:dyDescent="0.3">
      <c r="B548" s="16"/>
      <c r="C548" s="16"/>
    </row>
    <row r="549" spans="2:3" ht="16.5" hidden="1" customHeight="1" x14ac:dyDescent="0.3">
      <c r="B549" s="16"/>
      <c r="C549" s="16"/>
    </row>
    <row r="550" spans="2:3" ht="16.5" hidden="1" customHeight="1" x14ac:dyDescent="0.3">
      <c r="B550" s="16"/>
      <c r="C550" s="16"/>
    </row>
    <row r="551" spans="2:3" ht="16.5" hidden="1" customHeight="1" x14ac:dyDescent="0.3">
      <c r="B551" s="16"/>
      <c r="C551" s="16"/>
    </row>
    <row r="552" spans="2:3" ht="16.5" hidden="1" customHeight="1" x14ac:dyDescent="0.3">
      <c r="B552" s="16"/>
      <c r="C552" s="16"/>
    </row>
    <row r="553" spans="2:3" ht="16.5" hidden="1" customHeight="1" x14ac:dyDescent="0.3">
      <c r="B553" s="16"/>
      <c r="C553" s="16"/>
    </row>
    <row r="554" spans="2:3" ht="16.5" hidden="1" customHeight="1" x14ac:dyDescent="0.3"/>
    <row r="555" spans="2:3" ht="16.5" hidden="1" customHeight="1" x14ac:dyDescent="0.3"/>
    <row r="556" spans="2:3" ht="16.5" hidden="1" customHeight="1" x14ac:dyDescent="0.3"/>
    <row r="557" spans="2:3" ht="16.5" hidden="1" customHeight="1" x14ac:dyDescent="0.3"/>
    <row r="558" spans="2:3" ht="16.5" hidden="1" customHeight="1" x14ac:dyDescent="0.3"/>
    <row r="559" spans="2:3" ht="16.5" hidden="1" customHeight="1" x14ac:dyDescent="0.3"/>
    <row r="560" spans="2:3" ht="16.5" hidden="1" customHeight="1" x14ac:dyDescent="0.3"/>
    <row r="561" ht="16.5" hidden="1" customHeight="1" x14ac:dyDescent="0.3"/>
    <row r="562" ht="16.5" hidden="1" customHeight="1" x14ac:dyDescent="0.3"/>
    <row r="563" ht="16.5" hidden="1" customHeight="1" x14ac:dyDescent="0.3"/>
    <row r="564" ht="16.5" hidden="1" customHeight="1" x14ac:dyDescent="0.3"/>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586740</xdr:colOff>
                <xdr:row>11</xdr:row>
                <xdr:rowOff>167640</xdr:rowOff>
              </from>
              <to>
                <xdr:col>15</xdr:col>
                <xdr:colOff>182880</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x14ac:dyDescent="0.25"/>
  <cols>
    <col min="1" max="1" width="2.77734375" style="30" customWidth="1"/>
    <col min="2" max="2" width="14.21875" style="30" customWidth="1"/>
    <col min="3" max="3" width="51.21875" style="30" customWidth="1"/>
    <col min="4" max="4" width="10.44140625" style="30" customWidth="1"/>
    <col min="5" max="5" width="17.44140625" style="30" customWidth="1"/>
    <col min="6" max="6" width="17.5546875" style="30" customWidth="1"/>
    <col min="7" max="7" width="18.21875" style="30" customWidth="1"/>
    <col min="8" max="8" width="19.21875" style="30" customWidth="1"/>
    <col min="9" max="9" width="34.5546875" style="30" customWidth="1"/>
    <col min="10" max="13" width="19.21875" style="30" customWidth="1"/>
    <col min="14" max="14" width="56.77734375" style="30" customWidth="1"/>
    <col min="15" max="15" width="34.21875" style="30" customWidth="1"/>
    <col min="16" max="16" width="45.77734375" style="30" customWidth="1"/>
    <col min="17" max="17" width="9.77734375" style="30" customWidth="1"/>
    <col min="18" max="18" width="18.21875" style="30" customWidth="1"/>
    <col min="19" max="19" width="13.21875" style="30" customWidth="1"/>
    <col min="20" max="20" width="12.5546875" style="30" bestFit="1" customWidth="1"/>
    <col min="21" max="21" width="12.5546875" style="30" customWidth="1"/>
    <col min="22" max="22" width="33.77734375" style="30" customWidth="1"/>
    <col min="23" max="23" width="15.44140625" style="30" customWidth="1"/>
    <col min="24" max="24" width="12.21875" style="30" customWidth="1"/>
    <col min="25" max="25" width="18.44140625" style="30" customWidth="1"/>
    <col min="26" max="26" width="20.44140625" style="30" customWidth="1"/>
    <col min="27" max="27" width="23.21875" style="30" customWidth="1"/>
    <col min="28" max="28" width="26.77734375" style="30" customWidth="1"/>
    <col min="29" max="29" width="18.44140625" style="30" customWidth="1"/>
    <col min="30" max="30" width="15.21875" style="30" customWidth="1"/>
    <col min="31" max="31" width="17.77734375" style="30" customWidth="1"/>
    <col min="32" max="32" width="27.21875" style="30" customWidth="1"/>
    <col min="33" max="33" width="17.44140625" style="30" customWidth="1"/>
    <col min="34" max="34" width="12.77734375" style="30" customWidth="1"/>
    <col min="35" max="35" width="16.77734375" style="30" customWidth="1"/>
    <col min="36" max="36" width="12.77734375" style="30" customWidth="1"/>
    <col min="37" max="37" width="19.5546875" style="30" customWidth="1"/>
    <col min="38" max="38" width="12.77734375" style="30" customWidth="1"/>
    <col min="39" max="39" width="41.44140625" style="30" customWidth="1"/>
    <col min="40" max="40" width="12.77734375" style="30" customWidth="1"/>
    <col min="41" max="41" width="11" style="30" hidden="1" customWidth="1"/>
    <col min="42" max="42" width="15.21875" style="30" customWidth="1"/>
    <col min="43" max="43" width="42.21875" style="30" customWidth="1"/>
    <col min="44" max="44" width="42.44140625" style="30" customWidth="1"/>
    <col min="45" max="46" width="13.44140625" style="30" customWidth="1"/>
    <col min="47" max="50" width="8.77734375" style="30" customWidth="1"/>
    <col min="51" max="51" width="8.77734375" style="30" hidden="1" customWidth="1"/>
    <col min="52" max="59" width="0" style="30" hidden="1" customWidth="1"/>
    <col min="60" max="16384" width="8.77734375" style="30" hidden="1"/>
  </cols>
  <sheetData>
    <row r="1" spans="2:51" ht="20.55" customHeight="1" thickBot="1" x14ac:dyDescent="0.3"/>
    <row r="2" spans="2:51" ht="27" customHeight="1" thickBot="1" x14ac:dyDescent="0.3">
      <c r="B2" s="1601" t="str">
        <f>CONCATENATE("Project Name:", " ", Start!F12, "     ", "Map Reference:", " ", Start!K66)</f>
        <v xml:space="preserve">Project Name: Grove Farm Solar     Map Reference: </v>
      </c>
      <c r="C2" s="1602"/>
      <c r="R2" s="102"/>
      <c r="Y2" s="1484" t="str">
        <f>IF(OR(COUNTIF($Y$12:Y259,"*30+*")&gt;0,COUNTIF($AC$12:AC259,"*30+*")&gt;0),"Note; Habitat selected has a time to target condition greater than 30 years. Non standard agreement may be required. ⚠","")</f>
        <v/>
      </c>
      <c r="Z2" s="1484"/>
      <c r="AA2" s="1484"/>
      <c r="AB2" s="1484"/>
      <c r="AC2" s="1484"/>
      <c r="AD2" s="1484"/>
    </row>
    <row r="3" spans="2:51" ht="21" customHeight="1" thickBot="1" x14ac:dyDescent="0.35">
      <c r="B3" s="1621" t="str">
        <f ca="1">MID(CELL("filename",A1),FIND("]",CELL("filename",A1))+1,256)</f>
        <v>F-3 Off-Site WaterC Enhancement</v>
      </c>
      <c r="C3" s="1622"/>
      <c r="O3" s="1437" t="s">
        <v>404</v>
      </c>
      <c r="P3" s="1439"/>
      <c r="R3" s="1610" t="str" cm="1">
        <f t="array" ref="R3">IF(OR(T12:T257 = "Fairly Good", T12:T257 = "Fairly Poor"),"A 'Fairly' Category has been used - check evidence to ensure this is appropriate ⚠", "")</f>
        <v/>
      </c>
      <c r="S3" s="1610"/>
      <c r="T3" s="1610"/>
      <c r="U3" s="1610"/>
      <c r="V3" s="1610"/>
      <c r="W3" s="1610"/>
      <c r="X3" s="1610"/>
      <c r="Y3" s="1484"/>
      <c r="Z3" s="1484"/>
      <c r="AA3" s="1484"/>
      <c r="AB3" s="1484"/>
      <c r="AC3" s="1484"/>
      <c r="AD3" s="1484"/>
    </row>
    <row r="4" spans="2:51" ht="21" customHeight="1" thickBot="1" x14ac:dyDescent="0.3">
      <c r="B4" s="1623"/>
      <c r="C4" s="1624"/>
      <c r="O4" s="535" t="s">
        <v>263</v>
      </c>
      <c r="P4" s="512">
        <f>'Headline Results'!H49</f>
        <v>0</v>
      </c>
      <c r="R4" s="1610"/>
      <c r="S4" s="1610"/>
      <c r="T4" s="1610"/>
      <c r="U4" s="1610"/>
      <c r="V4" s="1610"/>
      <c r="W4" s="1610"/>
      <c r="X4" s="1610"/>
      <c r="Y4" s="1484"/>
      <c r="Z4" s="1484"/>
      <c r="AA4" s="1484"/>
      <c r="AB4" s="1484"/>
      <c r="AC4" s="1484"/>
      <c r="AD4" s="1484"/>
    </row>
    <row r="5" spans="2:51" ht="15.6" customHeight="1" x14ac:dyDescent="0.3">
      <c r="O5" s="506" t="s">
        <v>265</v>
      </c>
      <c r="P5" s="513">
        <f>'Headline Results'!H53</f>
        <v>0</v>
      </c>
      <c r="Q5" s="30" t="s">
        <v>431</v>
      </c>
      <c r="R5" s="1610"/>
      <c r="S5" s="1610"/>
      <c r="T5" s="1610"/>
      <c r="U5" s="1610"/>
      <c r="V5" s="1610"/>
      <c r="W5" s="1610"/>
      <c r="X5" s="1610"/>
      <c r="AH5" s="158"/>
      <c r="AI5" s="158"/>
      <c r="AJ5" s="158"/>
      <c r="AK5" s="158"/>
      <c r="AL5" s="158"/>
      <c r="AM5" s="158"/>
      <c r="AN5" s="158"/>
    </row>
    <row r="6" spans="2:51" ht="15" customHeight="1" thickBot="1" x14ac:dyDescent="0.3">
      <c r="O6" s="536" t="s">
        <v>267</v>
      </c>
      <c r="P6" s="504" t="str" cm="1">
        <f t="array" ref="P6">IF(OR('Trading Summary WaterC''s'!G5:H8="No ▲"), "No - check trading summary ▲", "Yes ✓")</f>
        <v>Yes ✓</v>
      </c>
      <c r="Q6" s="509"/>
      <c r="R6" s="509"/>
      <c r="S6" s="509"/>
      <c r="T6" s="509"/>
    </row>
    <row r="7" spans="2:51" ht="13.8" x14ac:dyDescent="0.25">
      <c r="C7" s="101"/>
    </row>
    <row r="8" spans="2:51" ht="14.4" thickBot="1" x14ac:dyDescent="0.3"/>
    <row r="9" spans="2:51" ht="14.4" thickBot="1" x14ac:dyDescent="0.3">
      <c r="C9" s="101"/>
      <c r="D9" s="101"/>
      <c r="E9" s="101"/>
      <c r="F9" s="101"/>
      <c r="G9" s="101"/>
      <c r="H9" s="101"/>
      <c r="I9" s="101"/>
      <c r="J9" s="101"/>
      <c r="K9" s="101"/>
      <c r="L9" s="101"/>
      <c r="M9" s="101"/>
      <c r="N9" s="1548" t="s">
        <v>311</v>
      </c>
      <c r="O9" s="1549"/>
      <c r="P9" s="1549"/>
      <c r="Q9" s="1549"/>
      <c r="R9" s="1549"/>
      <c r="S9" s="1549"/>
      <c r="T9" s="1549"/>
      <c r="U9" s="1549"/>
      <c r="V9" s="1549"/>
      <c r="W9" s="1549"/>
      <c r="X9" s="1549"/>
      <c r="Y9" s="1549"/>
      <c r="Z9" s="1549"/>
      <c r="AA9" s="1549"/>
      <c r="AB9" s="1549"/>
      <c r="AC9" s="1549"/>
      <c r="AD9" s="1549"/>
      <c r="AE9" s="1549"/>
      <c r="AF9" s="1549"/>
      <c r="AG9" s="1549"/>
      <c r="AH9" s="1549"/>
      <c r="AI9" s="1549"/>
      <c r="AJ9" s="1549"/>
      <c r="AK9" s="1549"/>
      <c r="AL9" s="1549"/>
      <c r="AM9" s="1549"/>
      <c r="AN9" s="1550"/>
      <c r="AO9" s="332"/>
    </row>
    <row r="10" spans="2:51" s="33" customFormat="1" ht="27" customHeight="1" thickBot="1" x14ac:dyDescent="0.3">
      <c r="C10" s="1515" t="s">
        <v>332</v>
      </c>
      <c r="D10" s="1595"/>
      <c r="E10" s="1595"/>
      <c r="F10" s="1595"/>
      <c r="G10" s="1595"/>
      <c r="H10" s="1595"/>
      <c r="I10" s="1595"/>
      <c r="J10" s="1595"/>
      <c r="K10" s="1595"/>
      <c r="L10" s="1595"/>
      <c r="M10" s="1595"/>
      <c r="N10" s="1618" t="s">
        <v>432</v>
      </c>
      <c r="O10" s="1625" t="s">
        <v>334</v>
      </c>
      <c r="P10" s="1626"/>
      <c r="Q10" s="1542" t="s">
        <v>34</v>
      </c>
      <c r="R10" s="1542" t="s">
        <v>421</v>
      </c>
      <c r="S10" s="1542"/>
      <c r="T10" s="1542" t="s">
        <v>422</v>
      </c>
      <c r="U10" s="1542"/>
      <c r="V10" s="1561" t="s">
        <v>271</v>
      </c>
      <c r="W10" s="1562"/>
      <c r="X10" s="1563"/>
      <c r="Y10" s="1561" t="s">
        <v>314</v>
      </c>
      <c r="Z10" s="1562"/>
      <c r="AA10" s="1562"/>
      <c r="AB10" s="1562"/>
      <c r="AC10" s="1562"/>
      <c r="AD10" s="1563"/>
      <c r="AE10" s="1561" t="s">
        <v>315</v>
      </c>
      <c r="AF10" s="1562"/>
      <c r="AG10" s="1562"/>
      <c r="AH10" s="1563"/>
      <c r="AI10" s="1542" t="s">
        <v>406</v>
      </c>
      <c r="AJ10" s="1542"/>
      <c r="AK10" s="1561" t="s">
        <v>407</v>
      </c>
      <c r="AL10" s="1563"/>
      <c r="AM10" s="1542" t="s">
        <v>358</v>
      </c>
      <c r="AN10" s="1561"/>
      <c r="AO10" s="1579" t="s">
        <v>433</v>
      </c>
      <c r="AP10" s="1579" t="s">
        <v>418</v>
      </c>
      <c r="AQ10" s="1310" t="s">
        <v>276</v>
      </c>
      <c r="AR10" s="1308"/>
    </row>
    <row r="11" spans="2:51" ht="60" customHeight="1" thickBot="1" x14ac:dyDescent="0.3">
      <c r="B11" s="719" t="s">
        <v>339</v>
      </c>
      <c r="C11" s="140" t="s">
        <v>340</v>
      </c>
      <c r="D11" s="145" t="s">
        <v>34</v>
      </c>
      <c r="E11" s="145" t="s">
        <v>342</v>
      </c>
      <c r="F11" s="145" t="s">
        <v>343</v>
      </c>
      <c r="G11" s="145" t="s">
        <v>344</v>
      </c>
      <c r="H11" s="145" t="s">
        <v>345</v>
      </c>
      <c r="I11" s="145" t="s">
        <v>346</v>
      </c>
      <c r="J11" s="145" t="s">
        <v>271</v>
      </c>
      <c r="K11" s="145" t="s">
        <v>347</v>
      </c>
      <c r="L11" s="145" t="s">
        <v>272</v>
      </c>
      <c r="M11" s="144" t="s">
        <v>424</v>
      </c>
      <c r="N11" s="1619"/>
      <c r="O11" s="132" t="s">
        <v>395</v>
      </c>
      <c r="P11" s="861" t="s">
        <v>396</v>
      </c>
      <c r="Q11" s="1620"/>
      <c r="R11" s="132" t="s">
        <v>269</v>
      </c>
      <c r="S11" s="752" t="s">
        <v>286</v>
      </c>
      <c r="T11" s="132" t="s">
        <v>270</v>
      </c>
      <c r="U11" s="752" t="s">
        <v>286</v>
      </c>
      <c r="V11" s="132" t="s">
        <v>271</v>
      </c>
      <c r="W11" s="811" t="s">
        <v>271</v>
      </c>
      <c r="X11" s="752" t="s">
        <v>317</v>
      </c>
      <c r="Y11" s="132" t="s">
        <v>392</v>
      </c>
      <c r="Z11" s="811" t="s">
        <v>377</v>
      </c>
      <c r="AA11" s="811" t="s">
        <v>354</v>
      </c>
      <c r="AB11" s="811" t="s">
        <v>321</v>
      </c>
      <c r="AC11" s="811" t="s">
        <v>322</v>
      </c>
      <c r="AD11" s="752" t="s">
        <v>397</v>
      </c>
      <c r="AE11" s="132" t="s">
        <v>398</v>
      </c>
      <c r="AF11" s="811" t="s">
        <v>1679</v>
      </c>
      <c r="AG11" s="811" t="s">
        <v>356</v>
      </c>
      <c r="AH11" s="752" t="s">
        <v>327</v>
      </c>
      <c r="AI11" s="132" t="s">
        <v>409</v>
      </c>
      <c r="AJ11" s="752" t="s">
        <v>410</v>
      </c>
      <c r="AK11" s="132" t="s">
        <v>411</v>
      </c>
      <c r="AL11" s="752" t="s">
        <v>410</v>
      </c>
      <c r="AM11" s="132" t="s">
        <v>361</v>
      </c>
      <c r="AN11" s="887" t="s">
        <v>410</v>
      </c>
      <c r="AO11" s="1580"/>
      <c r="AP11" s="1580"/>
      <c r="AQ11" s="126" t="s">
        <v>295</v>
      </c>
      <c r="AR11" s="861" t="s">
        <v>296</v>
      </c>
      <c r="AS11" s="43" t="s">
        <v>297</v>
      </c>
      <c r="AT11" s="43" t="s">
        <v>363</v>
      </c>
      <c r="AY11" s="210" t="s">
        <v>280</v>
      </c>
    </row>
    <row r="12" spans="2:51" ht="13.8" x14ac:dyDescent="0.2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3.8" x14ac:dyDescent="0.2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3.8" x14ac:dyDescent="0.2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3.8" x14ac:dyDescent="0.2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3.8" x14ac:dyDescent="0.2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3.8" x14ac:dyDescent="0.2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3.8" x14ac:dyDescent="0.2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3.8" x14ac:dyDescent="0.2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3.8" x14ac:dyDescent="0.2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3.8" x14ac:dyDescent="0.2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3.8" x14ac:dyDescent="0.2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3.8" x14ac:dyDescent="0.2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3.8" x14ac:dyDescent="0.2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3.8" x14ac:dyDescent="0.2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3.8" x14ac:dyDescent="0.2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3.8" x14ac:dyDescent="0.2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3.8" x14ac:dyDescent="0.2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3.8" x14ac:dyDescent="0.2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3.8" x14ac:dyDescent="0.2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3.8" x14ac:dyDescent="0.2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3.8" x14ac:dyDescent="0.2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3.8" x14ac:dyDescent="0.2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3.8" x14ac:dyDescent="0.2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3.8" x14ac:dyDescent="0.2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3.8" x14ac:dyDescent="0.2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3.8" x14ac:dyDescent="0.2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3.8" x14ac:dyDescent="0.2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3.8" x14ac:dyDescent="0.2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3.8" x14ac:dyDescent="0.2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3.8" x14ac:dyDescent="0.2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3.8" x14ac:dyDescent="0.2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3.8" x14ac:dyDescent="0.2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3.8" x14ac:dyDescent="0.2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3.8" x14ac:dyDescent="0.2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3.8" x14ac:dyDescent="0.2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3.8" x14ac:dyDescent="0.2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3.8" x14ac:dyDescent="0.2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3.8" x14ac:dyDescent="0.2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3.8" x14ac:dyDescent="0.2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3.8" x14ac:dyDescent="0.2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3.8" x14ac:dyDescent="0.2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3.8" x14ac:dyDescent="0.2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3.8" x14ac:dyDescent="0.2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3.8" x14ac:dyDescent="0.2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3.8" x14ac:dyDescent="0.2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3.8" x14ac:dyDescent="0.2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3.8" x14ac:dyDescent="0.2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3.8" x14ac:dyDescent="0.2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3.8" x14ac:dyDescent="0.2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3.8" x14ac:dyDescent="0.2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3.8" x14ac:dyDescent="0.2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3.8" x14ac:dyDescent="0.2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3.8" x14ac:dyDescent="0.2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3.8" x14ac:dyDescent="0.2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3.8" x14ac:dyDescent="0.2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3.8" x14ac:dyDescent="0.2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3.8" x14ac:dyDescent="0.2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3.8" x14ac:dyDescent="0.2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3.8" x14ac:dyDescent="0.2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3.8" x14ac:dyDescent="0.2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3.8" x14ac:dyDescent="0.2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3.8" x14ac:dyDescent="0.2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3.8" x14ac:dyDescent="0.2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3.8" x14ac:dyDescent="0.2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3.8" x14ac:dyDescent="0.2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3.8" x14ac:dyDescent="0.2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3.8" x14ac:dyDescent="0.2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3.8" x14ac:dyDescent="0.2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3.8" x14ac:dyDescent="0.2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3.8" x14ac:dyDescent="0.2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3.8" x14ac:dyDescent="0.2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3.8" x14ac:dyDescent="0.2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3.8" x14ac:dyDescent="0.2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3.8" x14ac:dyDescent="0.2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3.8" x14ac:dyDescent="0.2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3.8" x14ac:dyDescent="0.2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3.8" x14ac:dyDescent="0.2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3.8" x14ac:dyDescent="0.2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3.8" x14ac:dyDescent="0.2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3.8" x14ac:dyDescent="0.2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3.8" x14ac:dyDescent="0.2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3.8" x14ac:dyDescent="0.2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3.8" x14ac:dyDescent="0.2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3.8" x14ac:dyDescent="0.2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3.8" x14ac:dyDescent="0.2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3.8" x14ac:dyDescent="0.2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3.8" x14ac:dyDescent="0.2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3.8" x14ac:dyDescent="0.2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3.8" x14ac:dyDescent="0.2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3.8" x14ac:dyDescent="0.2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3.8" x14ac:dyDescent="0.2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3.8" x14ac:dyDescent="0.2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3.8" x14ac:dyDescent="0.2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3.8" x14ac:dyDescent="0.2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3.8" x14ac:dyDescent="0.2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3.8" x14ac:dyDescent="0.2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3.8" x14ac:dyDescent="0.2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3.8" x14ac:dyDescent="0.2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3.8" x14ac:dyDescent="0.2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3.8" x14ac:dyDescent="0.2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3.8" x14ac:dyDescent="0.2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3.8" x14ac:dyDescent="0.2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3.8" x14ac:dyDescent="0.2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3.8" x14ac:dyDescent="0.2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3.8" x14ac:dyDescent="0.2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3.8" x14ac:dyDescent="0.2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3.8" x14ac:dyDescent="0.2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3.8" x14ac:dyDescent="0.2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3.8" x14ac:dyDescent="0.2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3.8" x14ac:dyDescent="0.2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3.8" x14ac:dyDescent="0.2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3.8" x14ac:dyDescent="0.2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3.8" x14ac:dyDescent="0.2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3.8" x14ac:dyDescent="0.2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3.8" x14ac:dyDescent="0.2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3.8" x14ac:dyDescent="0.2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3.8" x14ac:dyDescent="0.2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3.8" x14ac:dyDescent="0.2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3.8" x14ac:dyDescent="0.2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3.8" x14ac:dyDescent="0.2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3.8" x14ac:dyDescent="0.2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3.8" x14ac:dyDescent="0.2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3.8" x14ac:dyDescent="0.2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3.8" x14ac:dyDescent="0.2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3.8" x14ac:dyDescent="0.2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3.8" x14ac:dyDescent="0.2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3.8" x14ac:dyDescent="0.2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3.8" x14ac:dyDescent="0.2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3.8" x14ac:dyDescent="0.2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3.8" x14ac:dyDescent="0.2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3.8" x14ac:dyDescent="0.2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3.8" x14ac:dyDescent="0.2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3.8" x14ac:dyDescent="0.2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3.8" x14ac:dyDescent="0.2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3.8" x14ac:dyDescent="0.2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3.8" x14ac:dyDescent="0.2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3.8" x14ac:dyDescent="0.2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3.8" x14ac:dyDescent="0.2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3.8" x14ac:dyDescent="0.2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3.8" x14ac:dyDescent="0.2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3.8" x14ac:dyDescent="0.2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3.8" x14ac:dyDescent="0.2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3.8" x14ac:dyDescent="0.2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3.8" x14ac:dyDescent="0.2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3.8" x14ac:dyDescent="0.2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3.8" x14ac:dyDescent="0.2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3.8" x14ac:dyDescent="0.2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3.8" x14ac:dyDescent="0.2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3.8" x14ac:dyDescent="0.2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3.8" x14ac:dyDescent="0.2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3.8" x14ac:dyDescent="0.2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3.8" x14ac:dyDescent="0.2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3.8" x14ac:dyDescent="0.2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3.8" x14ac:dyDescent="0.2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3.8" x14ac:dyDescent="0.2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3.8" x14ac:dyDescent="0.2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3.8" x14ac:dyDescent="0.2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3.8" x14ac:dyDescent="0.2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3.8" x14ac:dyDescent="0.2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3.8" x14ac:dyDescent="0.2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3.8" x14ac:dyDescent="0.2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3.8" x14ac:dyDescent="0.2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3.8" x14ac:dyDescent="0.2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3.8" x14ac:dyDescent="0.2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3.8" x14ac:dyDescent="0.2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3.8" x14ac:dyDescent="0.2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3.8" x14ac:dyDescent="0.2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3.8" x14ac:dyDescent="0.2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3.8" x14ac:dyDescent="0.2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3.8" x14ac:dyDescent="0.2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3.8" x14ac:dyDescent="0.2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3.8" x14ac:dyDescent="0.2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3.8" x14ac:dyDescent="0.2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3.8" x14ac:dyDescent="0.2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3.8" x14ac:dyDescent="0.2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3.8" x14ac:dyDescent="0.2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3.8" x14ac:dyDescent="0.2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3.8" x14ac:dyDescent="0.2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3.8" x14ac:dyDescent="0.2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3.8" x14ac:dyDescent="0.2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3.8" x14ac:dyDescent="0.2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3.8" x14ac:dyDescent="0.2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3.8" x14ac:dyDescent="0.2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3.8" x14ac:dyDescent="0.2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3.8" x14ac:dyDescent="0.2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3.8" x14ac:dyDescent="0.2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3.8" x14ac:dyDescent="0.2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3.8" x14ac:dyDescent="0.2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3.8" x14ac:dyDescent="0.2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3.8" x14ac:dyDescent="0.2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3.8" x14ac:dyDescent="0.2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3.8" x14ac:dyDescent="0.2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3.8" x14ac:dyDescent="0.2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3.8" x14ac:dyDescent="0.2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3.8" x14ac:dyDescent="0.2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3.8" x14ac:dyDescent="0.2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3.8" x14ac:dyDescent="0.2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3.8" x14ac:dyDescent="0.2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3.8" x14ac:dyDescent="0.2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3.8" x14ac:dyDescent="0.2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3.8" x14ac:dyDescent="0.2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3.8" x14ac:dyDescent="0.2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3.8" x14ac:dyDescent="0.2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3.8" x14ac:dyDescent="0.2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3.8" x14ac:dyDescent="0.2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3.8" x14ac:dyDescent="0.2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3.8" x14ac:dyDescent="0.2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3.8" x14ac:dyDescent="0.2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3.8" x14ac:dyDescent="0.2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3.8" x14ac:dyDescent="0.2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3.8" x14ac:dyDescent="0.2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3.8" x14ac:dyDescent="0.2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3.8" x14ac:dyDescent="0.2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3.8" x14ac:dyDescent="0.2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3.8" x14ac:dyDescent="0.2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3.8" x14ac:dyDescent="0.2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3.8" x14ac:dyDescent="0.2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3.8" x14ac:dyDescent="0.2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3.8" x14ac:dyDescent="0.2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3.8" x14ac:dyDescent="0.2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3.8" x14ac:dyDescent="0.2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3.8" x14ac:dyDescent="0.2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3.8" x14ac:dyDescent="0.2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3.8" x14ac:dyDescent="0.2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3.8" x14ac:dyDescent="0.2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3.8" x14ac:dyDescent="0.2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3.8" x14ac:dyDescent="0.2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3.8" x14ac:dyDescent="0.2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3.8" x14ac:dyDescent="0.2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3.8" x14ac:dyDescent="0.2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3.8" x14ac:dyDescent="0.2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3.8" x14ac:dyDescent="0.2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3.8" x14ac:dyDescent="0.2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3.8" x14ac:dyDescent="0.2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3.8" x14ac:dyDescent="0.2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3.8" x14ac:dyDescent="0.2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3.8" x14ac:dyDescent="0.2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3.8" x14ac:dyDescent="0.2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3.8" x14ac:dyDescent="0.2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3.8" x14ac:dyDescent="0.2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3.8" x14ac:dyDescent="0.2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3.8" x14ac:dyDescent="0.2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3.8" x14ac:dyDescent="0.2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3.8" x14ac:dyDescent="0.2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3.8" x14ac:dyDescent="0.2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4.4" thickBot="1" x14ac:dyDescent="0.3">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4.4" thickBot="1" x14ac:dyDescent="0.3">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12"/>
      <c r="AN258" s="1512"/>
      <c r="AO258" s="427">
        <f>SUM(AO12:AO257)</f>
        <v>0</v>
      </c>
      <c r="AP258" s="427">
        <f>SUM(AP12:AP257)</f>
        <v>0</v>
      </c>
      <c r="AQ258" s="34"/>
      <c r="AR258" s="34"/>
    </row>
    <row r="259" spans="2:51" ht="13.8" x14ac:dyDescent="0.25">
      <c r="AJ259" s="30" t="str">
        <f>IF(AI259="","",IF(VLOOKUP(AI259,'[2]G-7 Rivers Data'!$AA$4:$AB$6,2,FALSE)=0,"Spatial Data Missing",VLOOKUP(AI259,'[2]G-7 Rivers Data'!$AA$4:$AB$6,2,FALSE)))</f>
        <v/>
      </c>
      <c r="AM259" s="32"/>
    </row>
    <row r="260" spans="2:51" ht="13.8" x14ac:dyDescent="0.25"/>
    <row r="261" spans="2:51" ht="13.8" x14ac:dyDescent="0.25"/>
    <row r="262" spans="2:51" ht="13.8" x14ac:dyDescent="0.25"/>
    <row r="263" spans="2:51" ht="13.8" x14ac:dyDescent="0.25"/>
    <row r="264" spans="2:51" ht="13.8" x14ac:dyDescent="0.25"/>
    <row r="265" spans="2:51" ht="13.8" x14ac:dyDescent="0.25"/>
    <row r="266" spans="2:51" ht="13.8" x14ac:dyDescent="0.25"/>
  </sheetData>
  <sheetProtection algorithmName="SHA-512" hashValue="Voqn0Ed/DxXbom1UwnwFGaVtjtqxnWmrQRBU9cJ9MZZa+g/3YiAqxud/pzMUjU+7gttQFwUIAjhkQPwwVyhwcw==" saltValue="cyZXojb9GVRRBo0cWWFCE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Y2:AD4"/>
    <mergeCell ref="B2:C2"/>
    <mergeCell ref="C10:M10"/>
    <mergeCell ref="V10:X10"/>
    <mergeCell ref="Y10:AD10"/>
    <mergeCell ref="N10:N11"/>
    <mergeCell ref="Q10:Q11"/>
    <mergeCell ref="R10:S10"/>
    <mergeCell ref="T10:U10"/>
    <mergeCell ref="O3:P3"/>
    <mergeCell ref="B3:C4"/>
    <mergeCell ref="O10:P10"/>
    <mergeCell ref="R3:X5"/>
    <mergeCell ref="AM258:AN258"/>
    <mergeCell ref="N9:AN9"/>
    <mergeCell ref="AQ10:AR10"/>
    <mergeCell ref="AO10:AO11"/>
    <mergeCell ref="AM10:AN10"/>
    <mergeCell ref="AE10:AH10"/>
    <mergeCell ref="AI10:AJ10"/>
    <mergeCell ref="AK10:AL10"/>
    <mergeCell ref="AP10:AP11"/>
  </mergeCells>
  <conditionalFormatting sqref="L12:L257">
    <cfRule type="containsText" dxfId="33" priority="30" operator="containsText" text="Restore">
      <formula>NOT(ISERROR(SEARCH("Restore",L12)))</formula>
    </cfRule>
  </conditionalFormatting>
  <conditionalFormatting sqref="AO258:AP258 O12:AB257 AE12:AO257">
    <cfRule type="beginsWith" dxfId="32" priority="25" operator="beginsWith" text="No - Low">
      <formula>LEFT(O12,LEN("No - Low"))="No - Low"</formula>
    </cfRule>
    <cfRule type="containsText" dxfId="31" priority="26" operator="containsText" text="30+">
      <formula>NOT(ISERROR(SEARCH("30+",O12)))</formula>
    </cfRule>
    <cfRule type="containsText" dxfId="30" priority="27" operator="containsText" text="Spatial">
      <formula>NOT(ISERROR(SEARCH("Spatial",O12)))</formula>
    </cfRule>
    <cfRule type="containsText" dxfId="29" priority="28" operator="containsText" text="Check">
      <formula>NOT(ISERROR(SEARCH("Check",O12)))</formula>
    </cfRule>
    <cfRule type="containsText" dxfId="28" priority="29" operator="containsText" text="Error">
      <formula>NOT(ISERROR(SEARCH("Error",O12)))</formula>
    </cfRule>
  </conditionalFormatting>
  <conditionalFormatting sqref="AC12:AD257">
    <cfRule type="containsText" dxfId="27" priority="23" operator="containsText" text="Check">
      <formula>NOT(ISERROR(SEARCH("Check",AC12)))</formula>
    </cfRule>
    <cfRule type="beginsWith" dxfId="26" priority="24" operator="beginsWith" text="Error">
      <formula>LEFT(AC12,LEN("Error"))="Error"</formula>
    </cfRule>
  </conditionalFormatting>
  <conditionalFormatting sqref="Y2">
    <cfRule type="containsText" dxfId="25" priority="21" operator="containsText" text="Note">
      <formula>NOT(ISERROR(SEARCH("Note",Y2)))</formula>
    </cfRule>
  </conditionalFormatting>
  <conditionalFormatting sqref="P4">
    <cfRule type="containsText" dxfId="24" priority="19" operator="containsText" text="Error">
      <formula>NOT(ISERROR(SEARCH("Error",P4)))</formula>
    </cfRule>
    <cfRule type="containsText" dxfId="23" priority="20" operator="containsText" text="Check">
      <formula>NOT(ISERROR(SEARCH("Check",P4)))</formula>
    </cfRule>
  </conditionalFormatting>
  <conditionalFormatting sqref="P5">
    <cfRule type="cellIs" dxfId="22" priority="2" operator="equal">
      <formula>0</formula>
    </cfRule>
    <cfRule type="containsText" dxfId="21" priority="3" operator="containsText" text="Error">
      <formula>NOT(ISERROR(SEARCH("Error",P5)))</formula>
    </cfRule>
    <cfRule type="containsText" dxfId="20" priority="4" operator="containsText" text="Check">
      <formula>NOT(ISERROR(SEARCH("Check",P5)))</formula>
    </cfRule>
    <cfRule type="cellIs" dxfId="19" priority="5" operator="lessThan">
      <formula>0</formula>
    </cfRule>
  </conditionalFormatting>
  <conditionalFormatting sqref="R3:X5">
    <cfRule type="containsText" dxfId="18" priority="14" operator="containsText" text="Check">
      <formula>NOT(ISERROR(SEARCH("Check",R3)))</formula>
    </cfRule>
  </conditionalFormatting>
  <conditionalFormatting sqref="P6">
    <cfRule type="containsText" dxfId="17" priority="12" operator="containsText" text="No">
      <formula>NOT(ISERROR(SEARCH("No",P6)))</formula>
    </cfRule>
    <cfRule type="containsText" dxfId="16" priority="13" operator="containsText" text="Yes">
      <formula>NOT(ISERROR(SEARCH("Yes",P6)))</formula>
    </cfRule>
  </conditionalFormatting>
  <conditionalFormatting sqref="U12:U257">
    <cfRule type="containsText" dxfId="15" priority="11" operator="containsText" text="Not possible">
      <formula>NOT(ISERROR(SEARCH("Not possible",U12)))</formula>
    </cfRule>
  </conditionalFormatting>
  <conditionalFormatting sqref="AP12:AP257">
    <cfRule type="beginsWith" dxfId="14" priority="6" operator="beginsWith" text="No - Low">
      <formula>LEFT(AP12,LEN("No - Low"))="No - Low"</formula>
    </cfRule>
    <cfRule type="containsText" dxfId="13" priority="7" operator="containsText" text="30+">
      <formula>NOT(ISERROR(SEARCH("30+",AP12)))</formula>
    </cfRule>
    <cfRule type="containsText" dxfId="12" priority="8" operator="containsText" text="Spatial">
      <formula>NOT(ISERROR(SEARCH("Spatial",AP12)))</formula>
    </cfRule>
    <cfRule type="containsText" dxfId="11" priority="9" operator="containsText" text="Check">
      <formula>NOT(ISERROR(SEARCH("Check",AP12)))</formula>
    </cfRule>
    <cfRule type="containsText" dxfId="10" priority="10" operator="containsText" text="Error">
      <formula>NOT(ISERROR(SEARCH("Error",AP12)))</formula>
    </cfRule>
  </conditionalFormatting>
  <conditionalFormatting sqref="P4:P6">
    <cfRule type="containsText" dxfId="9" priority="1" operator="containsText" text="N/A">
      <formula>NOT(ISERROR(SEARCH("N/A",P4)))</formula>
    </cfRule>
  </conditionalFormatting>
  <dataValidations count="3">
    <dataValidation type="list" allowBlank="1" showInputMessage="1" showErrorMessage="1" sqref="T12:T257" xr:uid="{00000000-0002-0000-1C00-000000000000}">
      <formula1>INDIRECT(AY12)</formula1>
    </dataValidation>
    <dataValidation type="list" allowBlank="1" showInputMessage="1" showErrorMessage="1" sqref="AI12:AI257" xr:uid="{62E6A2D0-33F2-44F4-8F93-20E463A954F5}">
      <formula1>IF(N12="Culvert",riparianencroachment2,riparianencroachment1)</formula1>
    </dataValidation>
    <dataValidation type="list" allowBlank="1" showInputMessage="1" showErrorMessage="1" sqref="AK12:AK257" xr:uid="{A33BBA18-A900-46F0-BD94-DC9351A3071C}">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4" operator="lessThan" id="{81F228A8-0E99-4272-9DDD-FBE759F32105}">
            <xm:f>Start!$F$22</xm:f>
            <x14:dxf>
              <font>
                <color rgb="FF383745"/>
              </font>
              <fill>
                <patternFill>
                  <bgColor rgb="FFFFC000"/>
                </patternFill>
              </fill>
            </x14:dxf>
          </x14:cfRule>
          <x14:cfRule type="cellIs" priority="455"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C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C00-000006000000}">
          <x14:formula1>
            <xm:f>'G-7 WaterC'' Data'!$B$4:$B$8</xm:f>
          </x14:formula1>
          <xm:sqref>N12:N257</xm:sqref>
        </x14:dataValidation>
        <x14:dataValidation type="list" allowBlank="1" showInputMessage="1" showErrorMessage="1" xr:uid="{639AACBA-0C5C-441A-8CCE-C65A692C2DD3}">
          <x14:formula1>
            <xm:f>IF(N12="Culvert",'G-7 WaterC'' Data'!$AK$6,'G-7 WaterC'' Data'!$AK$4:$AK$6)</xm:f>
          </x14:formula1>
          <xm:sqref>V12:V257</xm:sqref>
        </x14:dataValidation>
        <x14:dataValidation type="list" allowBlank="1" showInputMessage="1" showErrorMessage="1" xr:uid="{00000000-0002-0000-1C00-000007000000}">
          <x14:formula1>
            <xm:f>'G-4 Temporal multipliers'!$A$42:$A$73</xm:f>
          </x14:formula1>
          <xm:sqref>Z12:AA257</xm:sqref>
        </x14:dataValidation>
        <x14:dataValidation type="list" allowBlank="1" showInputMessage="1" showErrorMessage="1" xr:uid="{6D20956B-FBF4-47A5-9E96-4747C5C37D28}">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C000"/>
  </sheetPr>
  <dimension ref="A1:XFC162"/>
  <sheetViews>
    <sheetView showGridLines="0" zoomScale="80" zoomScaleNormal="80" workbookViewId="0">
      <pane xSplit="2" ySplit="2" topLeftCell="C3" activePane="bottomRight" state="frozen"/>
      <selection pane="topRight"/>
      <selection pane="bottomLeft"/>
      <selection pane="bottomRight"/>
    </sheetView>
  </sheetViews>
  <sheetFormatPr defaultColWidth="4.21875" defaultRowHeight="13.8" zeroHeight="1" x14ac:dyDescent="0.25"/>
  <cols>
    <col min="1" max="1" width="30.44140625" style="33" customWidth="1"/>
    <col min="2" max="2" width="77" style="30" bestFit="1" customWidth="1"/>
    <col min="3" max="3" width="26.21875" style="30" bestFit="1" customWidth="1"/>
    <col min="4" max="4" width="13.77734375" style="30" bestFit="1" customWidth="1"/>
    <col min="5" max="5" width="19.77734375" style="30" bestFit="1" customWidth="1"/>
    <col min="6" max="6" width="25.21875" style="30" bestFit="1" customWidth="1"/>
    <col min="7" max="7" width="19.77734375" style="30" bestFit="1" customWidth="1"/>
    <col min="8" max="8" width="82.21875" style="30" bestFit="1" customWidth="1"/>
    <col min="9" max="9" width="26.21875" style="30" customWidth="1"/>
    <col min="10" max="10" width="60.5546875" style="30" bestFit="1" customWidth="1"/>
    <col min="11" max="11" width="21.21875" style="30" bestFit="1" customWidth="1"/>
    <col min="12" max="12" width="28.21875" style="30" bestFit="1" customWidth="1"/>
    <col min="13" max="13" width="66" style="30" customWidth="1"/>
    <col min="14" max="14" width="27.44140625" style="30" bestFit="1" customWidth="1"/>
    <col min="15" max="15" width="16.44140625" style="30" bestFit="1" customWidth="1"/>
    <col min="16" max="16" width="27.44140625" style="30" bestFit="1" customWidth="1"/>
    <col min="17" max="17" width="16.44140625" style="30" bestFit="1" customWidth="1"/>
    <col min="18" max="18" width="28.44140625" style="33" bestFit="1" customWidth="1"/>
    <col min="19" max="19" width="30.21875" style="30" bestFit="1" customWidth="1"/>
    <col min="20" max="23" width="26.21875" style="30" customWidth="1"/>
    <col min="24" max="24" width="30.21875" style="30" customWidth="1"/>
    <col min="25" max="27" width="26.21875" style="30" customWidth="1"/>
    <col min="28" max="33" width="31.21875" style="30" customWidth="1"/>
    <col min="34" max="35" width="4.21875" style="30"/>
    <col min="36" max="16383" width="0" style="30" hidden="1" customWidth="1"/>
    <col min="16384" max="16384" width="2.21875" style="30" hidden="1" customWidth="1"/>
  </cols>
  <sheetData>
    <row r="1" spans="1:35" ht="57.6" customHeight="1" x14ac:dyDescent="0.4">
      <c r="D1" s="1632" t="s">
        <v>434</v>
      </c>
      <c r="E1" s="1632"/>
      <c r="F1" s="1632"/>
      <c r="G1" s="174"/>
      <c r="H1" s="595"/>
      <c r="I1" s="174"/>
      <c r="J1" s="174"/>
      <c r="V1" s="1627" t="s">
        <v>435</v>
      </c>
      <c r="W1" s="1629"/>
      <c r="X1" s="1628"/>
      <c r="Z1" s="1627" t="s">
        <v>436</v>
      </c>
      <c r="AA1" s="1628"/>
      <c r="AF1" s="1630" t="s">
        <v>437</v>
      </c>
      <c r="AG1" s="1630" t="s">
        <v>438</v>
      </c>
    </row>
    <row r="2" spans="1:35" s="90" customFormat="1" ht="41.55" customHeight="1" x14ac:dyDescent="0.25">
      <c r="A2" s="230"/>
      <c r="B2" s="78" t="s">
        <v>439</v>
      </c>
      <c r="C2" s="175" t="s">
        <v>440</v>
      </c>
      <c r="D2" s="175" t="s">
        <v>441</v>
      </c>
      <c r="E2" s="175" t="s">
        <v>442</v>
      </c>
      <c r="F2" s="175" t="s">
        <v>443</v>
      </c>
      <c r="G2" s="175" t="s">
        <v>444</v>
      </c>
      <c r="H2" s="596" t="s">
        <v>445</v>
      </c>
      <c r="I2" s="175" t="s">
        <v>446</v>
      </c>
      <c r="J2" s="175" t="s">
        <v>447</v>
      </c>
      <c r="K2" s="175" t="s">
        <v>448</v>
      </c>
      <c r="L2" s="175" t="s">
        <v>449</v>
      </c>
      <c r="M2" s="175" t="s">
        <v>450</v>
      </c>
      <c r="N2" s="176" t="s">
        <v>451</v>
      </c>
      <c r="O2" s="176" t="s">
        <v>410</v>
      </c>
      <c r="P2" s="176" t="s">
        <v>452</v>
      </c>
      <c r="Q2" s="176" t="s">
        <v>410</v>
      </c>
      <c r="R2" s="176" t="s">
        <v>453</v>
      </c>
      <c r="S2" s="176" t="s">
        <v>454</v>
      </c>
      <c r="T2" s="30"/>
      <c r="U2" s="30"/>
      <c r="V2" s="78" t="s">
        <v>455</v>
      </c>
      <c r="W2" s="78" t="s">
        <v>456</v>
      </c>
      <c r="X2" s="78" t="s">
        <v>457</v>
      </c>
      <c r="Y2" s="30"/>
      <c r="Z2" s="78" t="s">
        <v>458</v>
      </c>
      <c r="AA2" s="78" t="s">
        <v>459</v>
      </c>
      <c r="AB2" s="30"/>
      <c r="AC2" s="30"/>
      <c r="AD2" s="78" t="s">
        <v>460</v>
      </c>
      <c r="AE2" s="30"/>
      <c r="AF2" s="1631"/>
      <c r="AG2" s="1631"/>
      <c r="AH2" s="30"/>
      <c r="AI2" s="30"/>
    </row>
    <row r="3" spans="1:35" ht="27.6" x14ac:dyDescent="0.25">
      <c r="A3" s="698" t="s">
        <v>461</v>
      </c>
      <c r="B3" s="91" t="s">
        <v>462</v>
      </c>
      <c r="C3" s="404" t="s">
        <v>463</v>
      </c>
      <c r="D3" s="404" t="s">
        <v>464</v>
      </c>
      <c r="E3" s="404"/>
      <c r="F3" s="382" t="s">
        <v>124</v>
      </c>
      <c r="G3" s="404"/>
      <c r="H3" s="521" t="s">
        <v>465</v>
      </c>
      <c r="I3" s="404"/>
      <c r="J3" s="404" t="s">
        <v>466</v>
      </c>
      <c r="K3" s="404" t="s">
        <v>70</v>
      </c>
      <c r="L3" s="404">
        <f t="shared" ref="L3:L8" si="0">IF($K3=$V$3,$W$3,IF($K3=$V$3,$W$3,IF($K3=$V$4,$W$4,IF($K3=$V$5,$W$5,IF($K3=$V$6,$W$6,IF($K3=$V$7,$W$7))))))</f>
        <v>4</v>
      </c>
      <c r="M3" s="517" t="str">
        <f>IF($K3=$V$3,$X$3,IF($K3=$V$4,$X$4,IF($K3=$V$5,$X$5,IF($K3=$V$6,$X$6,IF($K3=$V$7,$X$7)))))</f>
        <v>Same broad habitat or a higher distinctiveness habitat required (≥)</v>
      </c>
      <c r="N3" s="404" t="s">
        <v>216</v>
      </c>
      <c r="O3" s="404">
        <f t="shared" ref="O3:O33" si="1">VLOOKUP(N3,Difficulty,2,FALSE)</f>
        <v>1</v>
      </c>
      <c r="P3" s="404" t="s">
        <v>216</v>
      </c>
      <c r="Q3" s="404">
        <f t="shared" ref="Q3:Q33" si="2">VLOOKUP(P3,Difficulty,2,FALSE)</f>
        <v>1</v>
      </c>
      <c r="R3" s="382"/>
      <c r="S3" s="404"/>
      <c r="V3" s="382" t="s">
        <v>467</v>
      </c>
      <c r="W3" s="404">
        <v>8</v>
      </c>
      <c r="X3" s="467" t="s">
        <v>468</v>
      </c>
      <c r="Z3" s="404" t="s">
        <v>68</v>
      </c>
      <c r="AA3" s="404">
        <v>3</v>
      </c>
      <c r="AD3" s="430" t="s">
        <v>52</v>
      </c>
      <c r="AF3" s="404" t="s">
        <v>124</v>
      </c>
      <c r="AG3" s="404" t="s">
        <v>124</v>
      </c>
    </row>
    <row r="4" spans="1:35" ht="27.6" x14ac:dyDescent="0.25">
      <c r="A4" s="698" t="s">
        <v>469</v>
      </c>
      <c r="B4" s="91" t="s">
        <v>470</v>
      </c>
      <c r="C4" s="404" t="s">
        <v>471</v>
      </c>
      <c r="D4" s="404" t="s">
        <v>464</v>
      </c>
      <c r="E4" s="404"/>
      <c r="F4" s="382" t="s">
        <v>124</v>
      </c>
      <c r="G4" s="404"/>
      <c r="H4" s="521" t="s">
        <v>465</v>
      </c>
      <c r="I4" s="404"/>
      <c r="J4" s="404" t="s">
        <v>466</v>
      </c>
      <c r="K4" s="404" t="s">
        <v>70</v>
      </c>
      <c r="L4" s="404">
        <f t="shared" si="0"/>
        <v>4</v>
      </c>
      <c r="M4" s="517" t="str">
        <f t="shared" ref="M4:M73" si="3">IF($K4=$V$3,$X$3,IF($K4=$V$4,$X$4,IF($K4=$V$5,$X$5,IF($K4=$V$6,$X$6,IF($K4=$V$7,$X$7)))))</f>
        <v>Same broad habitat or a higher distinctiveness habitat required (≥)</v>
      </c>
      <c r="N4" s="404" t="s">
        <v>216</v>
      </c>
      <c r="O4" s="404">
        <f t="shared" si="1"/>
        <v>1</v>
      </c>
      <c r="P4" s="404" t="s">
        <v>216</v>
      </c>
      <c r="Q4" s="404">
        <f t="shared" si="2"/>
        <v>1</v>
      </c>
      <c r="R4" s="382"/>
      <c r="S4" s="404"/>
      <c r="V4" s="404" t="s">
        <v>213</v>
      </c>
      <c r="W4" s="404">
        <v>6</v>
      </c>
      <c r="X4" s="468" t="s">
        <v>240</v>
      </c>
      <c r="Z4" s="404" t="s">
        <v>472</v>
      </c>
      <c r="AA4" s="404">
        <v>2.5</v>
      </c>
      <c r="AD4" s="430" t="s">
        <v>54</v>
      </c>
      <c r="AF4" s="404" t="s">
        <v>125</v>
      </c>
      <c r="AG4" s="404" t="s">
        <v>125</v>
      </c>
    </row>
    <row r="5" spans="1:35" ht="41.4" x14ac:dyDescent="0.25">
      <c r="A5" s="698" t="s">
        <v>473</v>
      </c>
      <c r="B5" s="91" t="s">
        <v>474</v>
      </c>
      <c r="C5" s="404" t="s">
        <v>475</v>
      </c>
      <c r="D5" s="404" t="s">
        <v>464</v>
      </c>
      <c r="E5" s="404"/>
      <c r="F5" s="382" t="s">
        <v>124</v>
      </c>
      <c r="G5" s="404"/>
      <c r="H5" s="521" t="s">
        <v>465</v>
      </c>
      <c r="I5" s="404"/>
      <c r="J5" s="404" t="s">
        <v>466</v>
      </c>
      <c r="K5" s="404" t="s">
        <v>70</v>
      </c>
      <c r="L5" s="404">
        <f t="shared" si="0"/>
        <v>4</v>
      </c>
      <c r="M5" s="517" t="str">
        <f t="shared" si="3"/>
        <v>Same broad habitat or a higher distinctiveness habitat required (≥)</v>
      </c>
      <c r="N5" s="404" t="s">
        <v>216</v>
      </c>
      <c r="O5" s="404">
        <f t="shared" si="1"/>
        <v>1</v>
      </c>
      <c r="P5" s="404" t="s">
        <v>216</v>
      </c>
      <c r="Q5" s="404">
        <f t="shared" si="2"/>
        <v>1</v>
      </c>
      <c r="R5" s="382"/>
      <c r="S5" s="404"/>
      <c r="V5" s="404" t="s">
        <v>70</v>
      </c>
      <c r="W5" s="404">
        <v>4</v>
      </c>
      <c r="X5" s="469" t="s">
        <v>215</v>
      </c>
      <c r="Z5" s="404" t="s">
        <v>67</v>
      </c>
      <c r="AA5" s="404">
        <v>2</v>
      </c>
      <c r="AF5" s="404" t="s">
        <v>126</v>
      </c>
      <c r="AG5" s="404" t="s">
        <v>476</v>
      </c>
    </row>
    <row r="6" spans="1:35" ht="27.6" x14ac:dyDescent="0.25">
      <c r="A6" s="698" t="s">
        <v>477</v>
      </c>
      <c r="B6" s="91" t="s">
        <v>478</v>
      </c>
      <c r="C6" s="404" t="s">
        <v>479</v>
      </c>
      <c r="D6" s="404" t="s">
        <v>464</v>
      </c>
      <c r="E6" s="404" t="s">
        <v>480</v>
      </c>
      <c r="F6" s="382" t="s">
        <v>124</v>
      </c>
      <c r="G6" s="404" t="s">
        <v>481</v>
      </c>
      <c r="H6" s="521" t="s">
        <v>465</v>
      </c>
      <c r="I6" s="404" t="s">
        <v>479</v>
      </c>
      <c r="J6" s="404" t="s">
        <v>466</v>
      </c>
      <c r="K6" s="404" t="s">
        <v>70</v>
      </c>
      <c r="L6" s="404">
        <f t="shared" si="0"/>
        <v>4</v>
      </c>
      <c r="M6" s="517" t="str">
        <f t="shared" si="3"/>
        <v>Same broad habitat or a higher distinctiveness habitat required (≥)</v>
      </c>
      <c r="N6" s="404" t="s">
        <v>216</v>
      </c>
      <c r="O6" s="404">
        <f t="shared" si="1"/>
        <v>1</v>
      </c>
      <c r="P6" s="404" t="s">
        <v>216</v>
      </c>
      <c r="Q6" s="404">
        <f t="shared" si="2"/>
        <v>1</v>
      </c>
      <c r="R6" s="382"/>
      <c r="S6" s="404"/>
      <c r="V6" s="404" t="s">
        <v>216</v>
      </c>
      <c r="W6" s="404">
        <v>2</v>
      </c>
      <c r="X6" s="470" t="s">
        <v>217</v>
      </c>
      <c r="Z6" s="404" t="s">
        <v>482</v>
      </c>
      <c r="AA6" s="404">
        <v>1.5</v>
      </c>
      <c r="AF6" s="404" t="s">
        <v>127</v>
      </c>
      <c r="AG6" s="404" t="s">
        <v>127</v>
      </c>
    </row>
    <row r="7" spans="1:35" x14ac:dyDescent="0.25">
      <c r="A7" s="698" t="s">
        <v>483</v>
      </c>
      <c r="B7" s="91" t="s">
        <v>484</v>
      </c>
      <c r="C7" s="404" t="s">
        <v>485</v>
      </c>
      <c r="D7" s="404" t="s">
        <v>464</v>
      </c>
      <c r="E7" s="404"/>
      <c r="F7" s="382" t="s">
        <v>124</v>
      </c>
      <c r="G7" s="404"/>
      <c r="H7" s="521" t="s">
        <v>465</v>
      </c>
      <c r="I7" s="404" t="s">
        <v>485</v>
      </c>
      <c r="J7" s="404" t="s">
        <v>483</v>
      </c>
      <c r="K7" s="404" t="s">
        <v>216</v>
      </c>
      <c r="L7" s="404">
        <f t="shared" si="0"/>
        <v>2</v>
      </c>
      <c r="M7" s="517" t="str">
        <f t="shared" si="3"/>
        <v>Same distinctiveness or better habitat required ≥</v>
      </c>
      <c r="N7" s="404" t="s">
        <v>216</v>
      </c>
      <c r="O7" s="404">
        <f t="shared" si="1"/>
        <v>1</v>
      </c>
      <c r="P7" s="404" t="s">
        <v>216</v>
      </c>
      <c r="Q7" s="404">
        <f t="shared" si="2"/>
        <v>1</v>
      </c>
      <c r="R7" s="382"/>
      <c r="S7" s="404"/>
      <c r="V7" s="404" t="s">
        <v>486</v>
      </c>
      <c r="W7" s="404">
        <v>0</v>
      </c>
      <c r="X7" s="471" t="s">
        <v>487</v>
      </c>
      <c r="Z7" s="404" t="s">
        <v>328</v>
      </c>
      <c r="AA7" s="404">
        <v>1</v>
      </c>
      <c r="AF7" s="404" t="s">
        <v>128</v>
      </c>
      <c r="AG7" s="404" t="s">
        <v>488</v>
      </c>
    </row>
    <row r="8" spans="1:35" x14ac:dyDescent="0.25">
      <c r="A8" s="698" t="s">
        <v>489</v>
      </c>
      <c r="B8" s="91" t="s">
        <v>490</v>
      </c>
      <c r="C8" s="404" t="s">
        <v>491</v>
      </c>
      <c r="D8" s="404" t="s">
        <v>464</v>
      </c>
      <c r="E8" s="404"/>
      <c r="F8" s="382" t="s">
        <v>124</v>
      </c>
      <c r="G8" s="404"/>
      <c r="H8" s="521" t="s">
        <v>465</v>
      </c>
      <c r="I8" s="404"/>
      <c r="J8" s="404" t="s">
        <v>483</v>
      </c>
      <c r="K8" s="404" t="s">
        <v>216</v>
      </c>
      <c r="L8" s="404">
        <f t="shared" si="0"/>
        <v>2</v>
      </c>
      <c r="M8" s="517" t="str">
        <f t="shared" si="3"/>
        <v>Same distinctiveness or better habitat required ≥</v>
      </c>
      <c r="N8" s="404" t="s">
        <v>216</v>
      </c>
      <c r="O8" s="404">
        <f t="shared" si="1"/>
        <v>1</v>
      </c>
      <c r="P8" s="404" t="s">
        <v>216</v>
      </c>
      <c r="Q8" s="404">
        <f t="shared" si="2"/>
        <v>1</v>
      </c>
      <c r="R8" s="382"/>
      <c r="S8" s="404"/>
      <c r="Z8" s="404" t="s">
        <v>492</v>
      </c>
      <c r="AA8" s="404">
        <v>1</v>
      </c>
      <c r="AF8" s="428" t="s">
        <v>129</v>
      </c>
      <c r="AG8" s="428" t="s">
        <v>129</v>
      </c>
    </row>
    <row r="9" spans="1:35" x14ac:dyDescent="0.25">
      <c r="A9" s="698" t="s">
        <v>493</v>
      </c>
      <c r="B9" s="91" t="s">
        <v>494</v>
      </c>
      <c r="C9" s="404" t="s">
        <v>495</v>
      </c>
      <c r="D9" s="404" t="s">
        <v>464</v>
      </c>
      <c r="E9" s="404"/>
      <c r="F9" s="382" t="s">
        <v>124</v>
      </c>
      <c r="G9" s="404"/>
      <c r="H9" s="521" t="s">
        <v>465</v>
      </c>
      <c r="I9" s="404" t="s">
        <v>495</v>
      </c>
      <c r="J9" s="404" t="s">
        <v>493</v>
      </c>
      <c r="K9" s="404" t="s">
        <v>216</v>
      </c>
      <c r="L9" s="404">
        <f t="shared" ref="L9:L49" si="4">IF(K9=$V$3,$W$3,IF(K9=$V$3,$W$3,IF(K9=$V$4,$W$4,IF(K9=$V$5,$W$5,IF(K9=$V$6,$W$6,IF(K9=$V$7,$W$7))))))</f>
        <v>2</v>
      </c>
      <c r="M9" s="517" t="str">
        <f t="shared" si="3"/>
        <v>Same distinctiveness or better habitat required ≥</v>
      </c>
      <c r="N9" s="404" t="s">
        <v>216</v>
      </c>
      <c r="O9" s="404">
        <f t="shared" si="1"/>
        <v>1</v>
      </c>
      <c r="P9" s="404" t="s">
        <v>216</v>
      </c>
      <c r="Q9" s="404">
        <f t="shared" si="2"/>
        <v>1</v>
      </c>
      <c r="R9" s="382"/>
      <c r="S9" s="404"/>
      <c r="Z9" s="404" t="s">
        <v>496</v>
      </c>
      <c r="AA9" s="404">
        <v>0</v>
      </c>
      <c r="AF9" s="404" t="s">
        <v>130</v>
      </c>
      <c r="AG9" s="404" t="s">
        <v>130</v>
      </c>
    </row>
    <row r="10" spans="1:35" x14ac:dyDescent="0.25">
      <c r="A10" s="698" t="s">
        <v>497</v>
      </c>
      <c r="B10" s="91" t="s">
        <v>498</v>
      </c>
      <c r="C10" s="404" t="s">
        <v>499</v>
      </c>
      <c r="D10" s="404" t="s">
        <v>464</v>
      </c>
      <c r="E10" s="404"/>
      <c r="F10" s="382" t="s">
        <v>124</v>
      </c>
      <c r="G10" s="404"/>
      <c r="H10" s="521" t="s">
        <v>465</v>
      </c>
      <c r="I10" s="404" t="s">
        <v>499</v>
      </c>
      <c r="J10" s="404" t="s">
        <v>497</v>
      </c>
      <c r="K10" s="404" t="s">
        <v>216</v>
      </c>
      <c r="L10" s="404">
        <f t="shared" si="4"/>
        <v>2</v>
      </c>
      <c r="M10" s="517" t="str">
        <f t="shared" si="3"/>
        <v>Same distinctiveness or better habitat required ≥</v>
      </c>
      <c r="N10" s="404" t="s">
        <v>216</v>
      </c>
      <c r="O10" s="404">
        <f t="shared" si="1"/>
        <v>1</v>
      </c>
      <c r="P10" s="404" t="s">
        <v>216</v>
      </c>
      <c r="Q10" s="404">
        <f t="shared" si="2"/>
        <v>1</v>
      </c>
      <c r="R10" s="382"/>
      <c r="S10" s="404"/>
      <c r="AF10" s="404" t="s">
        <v>131</v>
      </c>
      <c r="AG10" s="404" t="s">
        <v>500</v>
      </c>
    </row>
    <row r="11" spans="1:35" x14ac:dyDescent="0.25">
      <c r="A11" s="698" t="s">
        <v>501</v>
      </c>
      <c r="B11" s="91" t="s">
        <v>502</v>
      </c>
      <c r="C11" s="404" t="s">
        <v>503</v>
      </c>
      <c r="D11" s="404" t="s">
        <v>464</v>
      </c>
      <c r="E11" s="404"/>
      <c r="F11" s="382" t="s">
        <v>124</v>
      </c>
      <c r="G11" s="404"/>
      <c r="H11" s="521" t="s">
        <v>465</v>
      </c>
      <c r="I11" s="404" t="s">
        <v>503</v>
      </c>
      <c r="J11" s="404" t="s">
        <v>501</v>
      </c>
      <c r="K11" s="404" t="s">
        <v>216</v>
      </c>
      <c r="L11" s="404">
        <f t="shared" si="4"/>
        <v>2</v>
      </c>
      <c r="M11" s="517" t="str">
        <f t="shared" si="3"/>
        <v>Same distinctiveness or better habitat required ≥</v>
      </c>
      <c r="N11" s="404" t="s">
        <v>216</v>
      </c>
      <c r="O11" s="404">
        <f t="shared" si="1"/>
        <v>1</v>
      </c>
      <c r="P11" s="404" t="s">
        <v>216</v>
      </c>
      <c r="Q11" s="404">
        <f t="shared" si="2"/>
        <v>1</v>
      </c>
      <c r="R11" s="382"/>
      <c r="S11" s="404"/>
      <c r="AF11" s="404" t="s">
        <v>135</v>
      </c>
      <c r="AG11" s="404" t="s">
        <v>504</v>
      </c>
    </row>
    <row r="12" spans="1:35" ht="28.2" thickBot="1" x14ac:dyDescent="0.3">
      <c r="A12" s="698" t="s">
        <v>505</v>
      </c>
      <c r="B12" s="178" t="s">
        <v>506</v>
      </c>
      <c r="C12" s="388" t="s">
        <v>507</v>
      </c>
      <c r="D12" s="388" t="s">
        <v>464</v>
      </c>
      <c r="E12" s="388"/>
      <c r="F12" s="371" t="s">
        <v>124</v>
      </c>
      <c r="G12" s="388"/>
      <c r="H12" s="522" t="s">
        <v>465</v>
      </c>
      <c r="I12" s="388" t="s">
        <v>507</v>
      </c>
      <c r="J12" s="388" t="s">
        <v>505</v>
      </c>
      <c r="K12" s="388" t="s">
        <v>216</v>
      </c>
      <c r="L12" s="388">
        <f t="shared" si="4"/>
        <v>2</v>
      </c>
      <c r="M12" s="518" t="str">
        <f t="shared" si="3"/>
        <v>Same distinctiveness or better habitat required ≥</v>
      </c>
      <c r="N12" s="388" t="s">
        <v>216</v>
      </c>
      <c r="O12" s="388">
        <f t="shared" si="1"/>
        <v>1</v>
      </c>
      <c r="P12" s="388" t="s">
        <v>216</v>
      </c>
      <c r="Q12" s="388">
        <f t="shared" si="2"/>
        <v>1</v>
      </c>
      <c r="R12" s="371"/>
      <c r="S12" s="388"/>
      <c r="AF12" s="404" t="s">
        <v>984</v>
      </c>
      <c r="AG12" s="404" t="s">
        <v>1683</v>
      </c>
    </row>
    <row r="13" spans="1:35" x14ac:dyDescent="0.25">
      <c r="A13" s="698" t="s">
        <v>508</v>
      </c>
      <c r="B13" s="179" t="s">
        <v>509</v>
      </c>
      <c r="C13" s="383">
        <v>21</v>
      </c>
      <c r="D13" s="383" t="s">
        <v>464</v>
      </c>
      <c r="E13" s="383"/>
      <c r="F13" s="382" t="s">
        <v>125</v>
      </c>
      <c r="G13" s="383"/>
      <c r="H13" s="523" t="s">
        <v>508</v>
      </c>
      <c r="I13" s="383"/>
      <c r="J13" s="383" t="s">
        <v>508</v>
      </c>
      <c r="K13" s="383" t="s">
        <v>213</v>
      </c>
      <c r="L13" s="383">
        <f t="shared" si="4"/>
        <v>6</v>
      </c>
      <c r="M13" s="519" t="str">
        <f t="shared" si="3"/>
        <v>Same habitat required =</v>
      </c>
      <c r="N13" s="383" t="s">
        <v>216</v>
      </c>
      <c r="O13" s="383">
        <f t="shared" si="1"/>
        <v>1</v>
      </c>
      <c r="P13" s="383" t="s">
        <v>70</v>
      </c>
      <c r="Q13" s="383">
        <f t="shared" si="2"/>
        <v>0.67</v>
      </c>
      <c r="R13" s="370"/>
      <c r="S13" s="383"/>
      <c r="AF13" s="404" t="s">
        <v>987</v>
      </c>
      <c r="AG13" s="404" t="s">
        <v>1684</v>
      </c>
    </row>
    <row r="14" spans="1:35" x14ac:dyDescent="0.25">
      <c r="A14" s="698" t="s">
        <v>510</v>
      </c>
      <c r="B14" s="91" t="s">
        <v>511</v>
      </c>
      <c r="C14" s="404" t="s">
        <v>512</v>
      </c>
      <c r="D14" s="404" t="s">
        <v>464</v>
      </c>
      <c r="E14" s="404"/>
      <c r="F14" s="382" t="s">
        <v>125</v>
      </c>
      <c r="G14" s="404"/>
      <c r="H14" s="521" t="s">
        <v>513</v>
      </c>
      <c r="I14" s="404" t="s">
        <v>512</v>
      </c>
      <c r="J14" s="404" t="s">
        <v>510</v>
      </c>
      <c r="K14" s="404" t="s">
        <v>216</v>
      </c>
      <c r="L14" s="404">
        <f t="shared" si="4"/>
        <v>2</v>
      </c>
      <c r="M14" s="517" t="str">
        <f t="shared" si="3"/>
        <v>Same distinctiveness or better habitat required ≥</v>
      </c>
      <c r="N14" s="404" t="s">
        <v>216</v>
      </c>
      <c r="O14" s="404">
        <f t="shared" si="1"/>
        <v>1</v>
      </c>
      <c r="P14" s="404" t="s">
        <v>216</v>
      </c>
      <c r="Q14" s="404">
        <f t="shared" si="2"/>
        <v>1</v>
      </c>
      <c r="R14" s="382"/>
      <c r="S14" s="404"/>
      <c r="AF14" s="404" t="s">
        <v>132</v>
      </c>
      <c r="AG14" s="404" t="s">
        <v>514</v>
      </c>
    </row>
    <row r="15" spans="1:35" ht="27.6" x14ac:dyDescent="0.25">
      <c r="A15" s="698" t="s">
        <v>515</v>
      </c>
      <c r="B15" s="91" t="s">
        <v>516</v>
      </c>
      <c r="C15" s="404" t="s">
        <v>517</v>
      </c>
      <c r="D15" s="404" t="s">
        <v>464</v>
      </c>
      <c r="E15" s="404"/>
      <c r="F15" s="382" t="s">
        <v>125</v>
      </c>
      <c r="G15" s="404"/>
      <c r="H15" s="521" t="s">
        <v>518</v>
      </c>
      <c r="I15" s="404"/>
      <c r="J15" s="404" t="s">
        <v>518</v>
      </c>
      <c r="K15" s="404" t="s">
        <v>213</v>
      </c>
      <c r="L15" s="404">
        <f t="shared" si="4"/>
        <v>6</v>
      </c>
      <c r="M15" s="517" t="str">
        <f t="shared" si="3"/>
        <v>Same habitat required =</v>
      </c>
      <c r="N15" s="404" t="s">
        <v>213</v>
      </c>
      <c r="O15" s="404">
        <f t="shared" si="1"/>
        <v>0.33</v>
      </c>
      <c r="P15" s="404" t="s">
        <v>70</v>
      </c>
      <c r="Q15" s="404">
        <f t="shared" si="2"/>
        <v>0.67</v>
      </c>
      <c r="R15" s="382"/>
      <c r="S15" s="404"/>
      <c r="AF15" s="404" t="s">
        <v>136</v>
      </c>
      <c r="AG15" s="404" t="s">
        <v>519</v>
      </c>
    </row>
    <row r="16" spans="1:35" x14ac:dyDescent="0.25">
      <c r="A16" s="698" t="s">
        <v>520</v>
      </c>
      <c r="B16" s="91" t="s">
        <v>521</v>
      </c>
      <c r="C16" s="404" t="s">
        <v>522</v>
      </c>
      <c r="D16" s="404" t="s">
        <v>464</v>
      </c>
      <c r="E16" s="404"/>
      <c r="F16" s="382" t="s">
        <v>125</v>
      </c>
      <c r="G16" s="404" t="s">
        <v>523</v>
      </c>
      <c r="H16" s="521" t="s">
        <v>524</v>
      </c>
      <c r="I16" s="404" t="s">
        <v>522</v>
      </c>
      <c r="J16" s="429" t="s">
        <v>520</v>
      </c>
      <c r="K16" s="404" t="s">
        <v>213</v>
      </c>
      <c r="L16" s="404">
        <f t="shared" si="4"/>
        <v>6</v>
      </c>
      <c r="M16" s="517" t="str">
        <f t="shared" si="3"/>
        <v>Same habitat required =</v>
      </c>
      <c r="N16" s="404" t="s">
        <v>213</v>
      </c>
      <c r="O16" s="404">
        <f t="shared" si="1"/>
        <v>0.33</v>
      </c>
      <c r="P16" s="404" t="s">
        <v>213</v>
      </c>
      <c r="Q16" s="404">
        <f t="shared" si="2"/>
        <v>0.33</v>
      </c>
      <c r="R16" s="382"/>
      <c r="S16" s="404"/>
      <c r="AF16" s="404" t="s">
        <v>137</v>
      </c>
      <c r="AG16" s="404" t="s">
        <v>525</v>
      </c>
    </row>
    <row r="17" spans="1:33" x14ac:dyDescent="0.25">
      <c r="A17" s="698" t="s">
        <v>526</v>
      </c>
      <c r="B17" s="91" t="s">
        <v>527</v>
      </c>
      <c r="C17" s="404" t="s">
        <v>528</v>
      </c>
      <c r="D17" s="404" t="s">
        <v>464</v>
      </c>
      <c r="E17" s="404" t="s">
        <v>529</v>
      </c>
      <c r="F17" s="382" t="s">
        <v>125</v>
      </c>
      <c r="G17" s="404" t="s">
        <v>530</v>
      </c>
      <c r="H17" s="521" t="s">
        <v>513</v>
      </c>
      <c r="I17" s="404" t="s">
        <v>528</v>
      </c>
      <c r="J17" s="429" t="s">
        <v>526</v>
      </c>
      <c r="K17" s="404" t="s">
        <v>467</v>
      </c>
      <c r="L17" s="404">
        <f t="shared" si="4"/>
        <v>8</v>
      </c>
      <c r="M17" s="517" t="str">
        <f t="shared" si="3"/>
        <v>Bespoke compensation likely to be required 🛠</v>
      </c>
      <c r="N17" s="404" t="s">
        <v>213</v>
      </c>
      <c r="O17" s="404">
        <f t="shared" si="1"/>
        <v>0.33</v>
      </c>
      <c r="P17" s="404" t="s">
        <v>213</v>
      </c>
      <c r="Q17" s="404">
        <f t="shared" si="2"/>
        <v>0.33</v>
      </c>
      <c r="R17" s="382"/>
      <c r="S17" s="404"/>
      <c r="AF17" s="404" t="s">
        <v>138</v>
      </c>
      <c r="AG17" s="404" t="s">
        <v>531</v>
      </c>
    </row>
    <row r="18" spans="1:33" x14ac:dyDescent="0.25">
      <c r="A18" s="698" t="s">
        <v>532</v>
      </c>
      <c r="B18" s="91" t="s">
        <v>533</v>
      </c>
      <c r="C18" s="404" t="s">
        <v>534</v>
      </c>
      <c r="D18" s="404" t="s">
        <v>464</v>
      </c>
      <c r="E18" s="404"/>
      <c r="F18" s="382" t="s">
        <v>125</v>
      </c>
      <c r="G18" s="404" t="s">
        <v>535</v>
      </c>
      <c r="H18" s="521" t="s">
        <v>536</v>
      </c>
      <c r="I18" s="404" t="s">
        <v>534</v>
      </c>
      <c r="J18" s="429" t="s">
        <v>532</v>
      </c>
      <c r="K18" s="404" t="s">
        <v>467</v>
      </c>
      <c r="L18" s="404">
        <f t="shared" si="4"/>
        <v>8</v>
      </c>
      <c r="M18" s="517" t="str">
        <f t="shared" si="3"/>
        <v>Bespoke compensation likely to be required 🛠</v>
      </c>
      <c r="N18" s="404" t="s">
        <v>213</v>
      </c>
      <c r="O18" s="404">
        <f t="shared" si="1"/>
        <v>0.33</v>
      </c>
      <c r="P18" s="404" t="s">
        <v>70</v>
      </c>
      <c r="Q18" s="404">
        <f t="shared" si="2"/>
        <v>0.67</v>
      </c>
      <c r="R18" s="382"/>
      <c r="S18" s="404"/>
    </row>
    <row r="19" spans="1:33" x14ac:dyDescent="0.25">
      <c r="A19" s="698" t="s">
        <v>537</v>
      </c>
      <c r="B19" s="91" t="s">
        <v>538</v>
      </c>
      <c r="C19" s="404" t="s">
        <v>539</v>
      </c>
      <c r="D19" s="404" t="s">
        <v>464</v>
      </c>
      <c r="E19" s="404"/>
      <c r="F19" s="382" t="s">
        <v>125</v>
      </c>
      <c r="G19" s="404" t="s">
        <v>539</v>
      </c>
      <c r="H19" s="521" t="s">
        <v>537</v>
      </c>
      <c r="I19" s="382" t="s">
        <v>540</v>
      </c>
      <c r="J19" s="382" t="s">
        <v>537</v>
      </c>
      <c r="K19" s="404" t="s">
        <v>216</v>
      </c>
      <c r="L19" s="404">
        <f t="shared" si="4"/>
        <v>2</v>
      </c>
      <c r="M19" s="517" t="str">
        <f t="shared" si="3"/>
        <v>Same distinctiveness or better habitat required ≥</v>
      </c>
      <c r="N19" s="404" t="s">
        <v>216</v>
      </c>
      <c r="O19" s="404">
        <f t="shared" si="1"/>
        <v>1</v>
      </c>
      <c r="P19" s="404" t="s">
        <v>216</v>
      </c>
      <c r="Q19" s="404">
        <f t="shared" si="2"/>
        <v>1</v>
      </c>
      <c r="R19" s="382"/>
      <c r="S19" s="404"/>
    </row>
    <row r="20" spans="1:33" x14ac:dyDescent="0.25">
      <c r="A20" s="698" t="s">
        <v>541</v>
      </c>
      <c r="B20" s="91" t="s">
        <v>542</v>
      </c>
      <c r="C20" s="404" t="s">
        <v>543</v>
      </c>
      <c r="D20" s="404" t="s">
        <v>464</v>
      </c>
      <c r="E20" s="404"/>
      <c r="F20" s="382" t="s">
        <v>125</v>
      </c>
      <c r="G20" s="404"/>
      <c r="H20" s="521" t="s">
        <v>513</v>
      </c>
      <c r="I20" s="404" t="s">
        <v>543</v>
      </c>
      <c r="J20" s="404" t="s">
        <v>541</v>
      </c>
      <c r="K20" s="404" t="s">
        <v>70</v>
      </c>
      <c r="L20" s="404">
        <f t="shared" si="4"/>
        <v>4</v>
      </c>
      <c r="M20" s="517" t="str">
        <f t="shared" si="3"/>
        <v>Same broad habitat or a higher distinctiveness habitat required (≥)</v>
      </c>
      <c r="N20" s="404" t="s">
        <v>216</v>
      </c>
      <c r="O20" s="404">
        <f t="shared" si="1"/>
        <v>1</v>
      </c>
      <c r="P20" s="404" t="s">
        <v>216</v>
      </c>
      <c r="Q20" s="404">
        <f t="shared" si="2"/>
        <v>1</v>
      </c>
      <c r="R20" s="382"/>
      <c r="S20" s="404"/>
    </row>
    <row r="21" spans="1:33" x14ac:dyDescent="0.25">
      <c r="A21" s="698" t="s">
        <v>544</v>
      </c>
      <c r="B21" s="91" t="s">
        <v>545</v>
      </c>
      <c r="C21" s="404" t="s">
        <v>546</v>
      </c>
      <c r="D21" s="404" t="s">
        <v>464</v>
      </c>
      <c r="E21" s="404"/>
      <c r="F21" s="382" t="s">
        <v>125</v>
      </c>
      <c r="G21" s="404"/>
      <c r="H21" s="521" t="s">
        <v>536</v>
      </c>
      <c r="I21" s="404" t="s">
        <v>546</v>
      </c>
      <c r="J21" s="404" t="s">
        <v>544</v>
      </c>
      <c r="K21" s="404" t="s">
        <v>70</v>
      </c>
      <c r="L21" s="404">
        <f t="shared" si="4"/>
        <v>4</v>
      </c>
      <c r="M21" s="517" t="str">
        <f t="shared" si="3"/>
        <v>Same broad habitat or a higher distinctiveness habitat required (≥)</v>
      </c>
      <c r="N21" s="404" t="s">
        <v>216</v>
      </c>
      <c r="O21" s="404">
        <f t="shared" si="1"/>
        <v>1</v>
      </c>
      <c r="P21" s="404" t="s">
        <v>216</v>
      </c>
      <c r="Q21" s="404">
        <f t="shared" si="2"/>
        <v>1</v>
      </c>
      <c r="R21" s="382"/>
      <c r="S21" s="404"/>
    </row>
    <row r="22" spans="1:33" x14ac:dyDescent="0.25">
      <c r="A22" s="698" t="s">
        <v>547</v>
      </c>
      <c r="B22" s="91" t="s">
        <v>548</v>
      </c>
      <c r="C22" s="404" t="s">
        <v>549</v>
      </c>
      <c r="D22" s="404" t="s">
        <v>464</v>
      </c>
      <c r="E22" s="404"/>
      <c r="F22" s="382" t="s">
        <v>125</v>
      </c>
      <c r="G22" s="404" t="s">
        <v>550</v>
      </c>
      <c r="H22" s="521" t="s">
        <v>551</v>
      </c>
      <c r="I22" s="382"/>
      <c r="J22" s="404" t="s">
        <v>552</v>
      </c>
      <c r="K22" s="404" t="s">
        <v>213</v>
      </c>
      <c r="L22" s="404">
        <f t="shared" si="4"/>
        <v>6</v>
      </c>
      <c r="M22" s="517" t="str">
        <f t="shared" si="3"/>
        <v>Same habitat required =</v>
      </c>
      <c r="N22" s="404" t="s">
        <v>213</v>
      </c>
      <c r="O22" s="404">
        <f t="shared" si="1"/>
        <v>0.33</v>
      </c>
      <c r="P22" s="404" t="s">
        <v>213</v>
      </c>
      <c r="Q22" s="404">
        <f t="shared" si="2"/>
        <v>0.33</v>
      </c>
      <c r="R22" s="382"/>
      <c r="S22" s="404"/>
    </row>
    <row r="23" spans="1:33" x14ac:dyDescent="0.25">
      <c r="A23" s="698" t="s">
        <v>553</v>
      </c>
      <c r="B23" s="91" t="s">
        <v>554</v>
      </c>
      <c r="C23" s="404" t="s">
        <v>555</v>
      </c>
      <c r="D23" s="404" t="s">
        <v>464</v>
      </c>
      <c r="E23" s="404"/>
      <c r="F23" s="382" t="s">
        <v>125</v>
      </c>
      <c r="G23" s="404"/>
      <c r="H23" s="521" t="s">
        <v>513</v>
      </c>
      <c r="I23" s="404" t="s">
        <v>555</v>
      </c>
      <c r="J23" s="429" t="s">
        <v>553</v>
      </c>
      <c r="K23" s="404" t="s">
        <v>70</v>
      </c>
      <c r="L23" s="404">
        <f t="shared" si="4"/>
        <v>4</v>
      </c>
      <c r="M23" s="517" t="str">
        <f t="shared" si="3"/>
        <v>Same broad habitat or a higher distinctiveness habitat required (≥)</v>
      </c>
      <c r="N23" s="404" t="s">
        <v>216</v>
      </c>
      <c r="O23" s="404">
        <f t="shared" si="1"/>
        <v>1</v>
      </c>
      <c r="P23" s="404" t="s">
        <v>216</v>
      </c>
      <c r="Q23" s="404">
        <f t="shared" si="2"/>
        <v>1</v>
      </c>
      <c r="R23" s="382"/>
      <c r="S23" s="404"/>
    </row>
    <row r="24" spans="1:33" x14ac:dyDescent="0.25">
      <c r="A24" s="698" t="s">
        <v>556</v>
      </c>
      <c r="B24" s="91" t="s">
        <v>557</v>
      </c>
      <c r="C24" s="404" t="s">
        <v>558</v>
      </c>
      <c r="D24" s="404" t="s">
        <v>464</v>
      </c>
      <c r="E24" s="404"/>
      <c r="F24" s="382" t="s">
        <v>125</v>
      </c>
      <c r="G24" s="404"/>
      <c r="H24" s="521" t="s">
        <v>524</v>
      </c>
      <c r="I24" s="404" t="s">
        <v>558</v>
      </c>
      <c r="J24" s="429" t="s">
        <v>556</v>
      </c>
      <c r="K24" s="404" t="s">
        <v>213</v>
      </c>
      <c r="L24" s="404">
        <f t="shared" si="4"/>
        <v>6</v>
      </c>
      <c r="M24" s="517" t="str">
        <f t="shared" si="3"/>
        <v>Same habitat required =</v>
      </c>
      <c r="N24" s="404" t="s">
        <v>213</v>
      </c>
      <c r="O24" s="404">
        <f t="shared" si="1"/>
        <v>0.33</v>
      </c>
      <c r="P24" s="404" t="s">
        <v>213</v>
      </c>
      <c r="Q24" s="404">
        <f t="shared" si="2"/>
        <v>0.33</v>
      </c>
      <c r="R24" s="382"/>
      <c r="S24" s="404"/>
    </row>
    <row r="25" spans="1:33" ht="14.4" thickBot="1" x14ac:dyDescent="0.3">
      <c r="A25" s="698" t="s">
        <v>559</v>
      </c>
      <c r="B25" s="178" t="s">
        <v>560</v>
      </c>
      <c r="C25" s="388" t="s">
        <v>561</v>
      </c>
      <c r="D25" s="388" t="s">
        <v>464</v>
      </c>
      <c r="E25" s="388"/>
      <c r="F25" s="371" t="s">
        <v>125</v>
      </c>
      <c r="G25" s="388"/>
      <c r="H25" s="522" t="s">
        <v>536</v>
      </c>
      <c r="I25" s="388" t="s">
        <v>561</v>
      </c>
      <c r="J25" s="431" t="s">
        <v>559</v>
      </c>
      <c r="K25" s="388" t="s">
        <v>467</v>
      </c>
      <c r="L25" s="388">
        <f t="shared" si="4"/>
        <v>8</v>
      </c>
      <c r="M25" s="518" t="str">
        <f t="shared" si="3"/>
        <v>Bespoke compensation likely to be required 🛠</v>
      </c>
      <c r="N25" s="388" t="s">
        <v>213</v>
      </c>
      <c r="O25" s="388">
        <f t="shared" si="1"/>
        <v>0.33</v>
      </c>
      <c r="P25" s="388" t="s">
        <v>70</v>
      </c>
      <c r="Q25" s="388">
        <f t="shared" si="2"/>
        <v>0.67</v>
      </c>
      <c r="R25" s="371"/>
      <c r="S25" s="388"/>
    </row>
    <row r="26" spans="1:33" x14ac:dyDescent="0.25">
      <c r="A26" s="698" t="s">
        <v>562</v>
      </c>
      <c r="B26" s="179" t="s">
        <v>563</v>
      </c>
      <c r="C26" s="383" t="s">
        <v>564</v>
      </c>
      <c r="D26" s="383" t="s">
        <v>464</v>
      </c>
      <c r="E26" s="383"/>
      <c r="F26" s="370" t="s">
        <v>126</v>
      </c>
      <c r="G26" s="383" t="s">
        <v>565</v>
      </c>
      <c r="H26" s="523" t="s">
        <v>566</v>
      </c>
      <c r="I26" s="383" t="s">
        <v>564</v>
      </c>
      <c r="J26" s="383" t="s">
        <v>562</v>
      </c>
      <c r="K26" s="383" t="s">
        <v>70</v>
      </c>
      <c r="L26" s="383">
        <f t="shared" si="4"/>
        <v>4</v>
      </c>
      <c r="M26" s="519" t="str">
        <f t="shared" si="3"/>
        <v>Same broad habitat or a higher distinctiveness habitat required (≥)</v>
      </c>
      <c r="N26" s="383" t="s">
        <v>216</v>
      </c>
      <c r="O26" s="383">
        <f t="shared" si="1"/>
        <v>1</v>
      </c>
      <c r="P26" s="383" t="s">
        <v>216</v>
      </c>
      <c r="Q26" s="383">
        <f t="shared" si="2"/>
        <v>1</v>
      </c>
      <c r="R26" s="370"/>
      <c r="S26" s="383"/>
    </row>
    <row r="27" spans="1:33" x14ac:dyDescent="0.25">
      <c r="A27" s="698" t="s">
        <v>567</v>
      </c>
      <c r="B27" s="91" t="s">
        <v>568</v>
      </c>
      <c r="C27" s="404" t="s">
        <v>569</v>
      </c>
      <c r="D27" s="404" t="s">
        <v>464</v>
      </c>
      <c r="E27" s="404"/>
      <c r="F27" s="382" t="s">
        <v>126</v>
      </c>
      <c r="G27" s="404"/>
      <c r="H27" s="521" t="s">
        <v>566</v>
      </c>
      <c r="I27" s="404" t="s">
        <v>569</v>
      </c>
      <c r="J27" s="404" t="s">
        <v>567</v>
      </c>
      <c r="K27" s="404" t="s">
        <v>70</v>
      </c>
      <c r="L27" s="404">
        <f t="shared" si="4"/>
        <v>4</v>
      </c>
      <c r="M27" s="517" t="str">
        <f t="shared" si="3"/>
        <v>Same broad habitat or a higher distinctiveness habitat required (≥)</v>
      </c>
      <c r="N27" s="404" t="s">
        <v>216</v>
      </c>
      <c r="O27" s="404">
        <f t="shared" si="1"/>
        <v>1</v>
      </c>
      <c r="P27" s="404" t="s">
        <v>216</v>
      </c>
      <c r="Q27" s="404">
        <f t="shared" si="2"/>
        <v>1</v>
      </c>
      <c r="R27" s="382"/>
      <c r="S27" s="404"/>
    </row>
    <row r="28" spans="1:33" x14ac:dyDescent="0.25">
      <c r="A28" s="698" t="s">
        <v>570</v>
      </c>
      <c r="B28" s="91" t="s">
        <v>571</v>
      </c>
      <c r="C28" s="404" t="s">
        <v>572</v>
      </c>
      <c r="D28" s="404" t="s">
        <v>464</v>
      </c>
      <c r="E28" s="404"/>
      <c r="F28" s="382" t="s">
        <v>126</v>
      </c>
      <c r="G28" s="404"/>
      <c r="H28" s="521" t="s">
        <v>566</v>
      </c>
      <c r="I28" s="404" t="s">
        <v>572</v>
      </c>
      <c r="J28" s="404" t="s">
        <v>570</v>
      </c>
      <c r="K28" s="404" t="s">
        <v>70</v>
      </c>
      <c r="L28" s="404">
        <f t="shared" si="4"/>
        <v>4</v>
      </c>
      <c r="M28" s="517" t="str">
        <f t="shared" si="3"/>
        <v>Same broad habitat or a higher distinctiveness habitat required (≥)</v>
      </c>
      <c r="N28" s="404" t="s">
        <v>216</v>
      </c>
      <c r="O28" s="404">
        <f t="shared" si="1"/>
        <v>1</v>
      </c>
      <c r="P28" s="404" t="s">
        <v>216</v>
      </c>
      <c r="Q28" s="404">
        <f t="shared" si="2"/>
        <v>1</v>
      </c>
      <c r="R28" s="382"/>
      <c r="S28" s="404"/>
    </row>
    <row r="29" spans="1:33" x14ac:dyDescent="0.25">
      <c r="A29" s="698" t="s">
        <v>573</v>
      </c>
      <c r="B29" s="91" t="s">
        <v>574</v>
      </c>
      <c r="C29" s="404" t="s">
        <v>575</v>
      </c>
      <c r="D29" s="404" t="s">
        <v>464</v>
      </c>
      <c r="E29" s="404"/>
      <c r="F29" s="382" t="s">
        <v>126</v>
      </c>
      <c r="G29" s="404"/>
      <c r="H29" s="521" t="s">
        <v>566</v>
      </c>
      <c r="I29" s="404" t="s">
        <v>575</v>
      </c>
      <c r="J29" s="404" t="s">
        <v>573</v>
      </c>
      <c r="K29" s="404" t="s">
        <v>70</v>
      </c>
      <c r="L29" s="404">
        <f t="shared" si="4"/>
        <v>4</v>
      </c>
      <c r="M29" s="517" t="str">
        <f t="shared" si="3"/>
        <v>Same broad habitat or a higher distinctiveness habitat required (≥)</v>
      </c>
      <c r="N29" s="404" t="s">
        <v>216</v>
      </c>
      <c r="O29" s="404">
        <f t="shared" si="1"/>
        <v>1</v>
      </c>
      <c r="P29" s="404" t="s">
        <v>216</v>
      </c>
      <c r="Q29" s="404">
        <f t="shared" si="2"/>
        <v>1</v>
      </c>
      <c r="R29" s="382"/>
      <c r="S29" s="404"/>
    </row>
    <row r="30" spans="1:33" x14ac:dyDescent="0.25">
      <c r="A30" s="698" t="s">
        <v>576</v>
      </c>
      <c r="B30" s="91" t="s">
        <v>577</v>
      </c>
      <c r="C30" s="404" t="s">
        <v>578</v>
      </c>
      <c r="D30" s="404" t="s">
        <v>464</v>
      </c>
      <c r="E30" s="404"/>
      <c r="F30" s="382" t="s">
        <v>126</v>
      </c>
      <c r="G30" s="404"/>
      <c r="H30" s="521" t="s">
        <v>566</v>
      </c>
      <c r="I30" s="404" t="s">
        <v>578</v>
      </c>
      <c r="J30" s="404" t="s">
        <v>576</v>
      </c>
      <c r="K30" s="404" t="s">
        <v>70</v>
      </c>
      <c r="L30" s="404">
        <f t="shared" si="4"/>
        <v>4</v>
      </c>
      <c r="M30" s="517" t="str">
        <f t="shared" si="3"/>
        <v>Same broad habitat or a higher distinctiveness habitat required (≥)</v>
      </c>
      <c r="N30" s="404" t="s">
        <v>70</v>
      </c>
      <c r="O30" s="404">
        <f t="shared" si="1"/>
        <v>0.67</v>
      </c>
      <c r="P30" s="404" t="s">
        <v>216</v>
      </c>
      <c r="Q30" s="404">
        <f t="shared" si="2"/>
        <v>1</v>
      </c>
      <c r="R30" s="382"/>
      <c r="S30" s="404"/>
    </row>
    <row r="31" spans="1:33" x14ac:dyDescent="0.25">
      <c r="A31" s="698" t="s">
        <v>579</v>
      </c>
      <c r="B31" s="91" t="s">
        <v>580</v>
      </c>
      <c r="C31" s="404" t="s">
        <v>581</v>
      </c>
      <c r="D31" s="404" t="s">
        <v>464</v>
      </c>
      <c r="E31" s="404" t="s">
        <v>582</v>
      </c>
      <c r="F31" s="382" t="s">
        <v>126</v>
      </c>
      <c r="G31" s="404" t="s">
        <v>583</v>
      </c>
      <c r="H31" s="521" t="s">
        <v>584</v>
      </c>
      <c r="I31" s="404" t="s">
        <v>581</v>
      </c>
      <c r="J31" s="429" t="s">
        <v>585</v>
      </c>
      <c r="K31" s="404" t="s">
        <v>213</v>
      </c>
      <c r="L31" s="404">
        <f t="shared" si="4"/>
        <v>6</v>
      </c>
      <c r="M31" s="517" t="str">
        <f t="shared" si="3"/>
        <v>Same habitat required =</v>
      </c>
      <c r="N31" s="404" t="s">
        <v>213</v>
      </c>
      <c r="O31" s="404">
        <f t="shared" si="1"/>
        <v>0.33</v>
      </c>
      <c r="P31" s="404" t="s">
        <v>70</v>
      </c>
      <c r="Q31" s="404">
        <f t="shared" si="2"/>
        <v>0.67</v>
      </c>
      <c r="R31" s="382"/>
      <c r="S31" s="404"/>
    </row>
    <row r="32" spans="1:33" ht="27.6" x14ac:dyDescent="0.25">
      <c r="A32" s="698" t="s">
        <v>586</v>
      </c>
      <c r="B32" s="91" t="s">
        <v>587</v>
      </c>
      <c r="C32" s="404" t="s">
        <v>588</v>
      </c>
      <c r="D32" s="404" t="s">
        <v>464</v>
      </c>
      <c r="E32" s="404"/>
      <c r="F32" s="382" t="s">
        <v>126</v>
      </c>
      <c r="G32" s="404"/>
      <c r="H32" s="521" t="s">
        <v>566</v>
      </c>
      <c r="I32" s="404" t="s">
        <v>588</v>
      </c>
      <c r="J32" s="404" t="s">
        <v>586</v>
      </c>
      <c r="K32" s="404" t="s">
        <v>70</v>
      </c>
      <c r="L32" s="404">
        <f t="shared" si="4"/>
        <v>4</v>
      </c>
      <c r="M32" s="517" t="str">
        <f t="shared" si="3"/>
        <v>Same broad habitat or a higher distinctiveness habitat required (≥)</v>
      </c>
      <c r="N32" s="404" t="s">
        <v>216</v>
      </c>
      <c r="O32" s="404">
        <f t="shared" si="1"/>
        <v>1</v>
      </c>
      <c r="P32" s="404" t="s">
        <v>216</v>
      </c>
      <c r="Q32" s="404">
        <f t="shared" si="2"/>
        <v>1</v>
      </c>
      <c r="R32" s="382" t="s">
        <v>589</v>
      </c>
      <c r="S32" s="404"/>
    </row>
    <row r="33" spans="1:19" ht="27.6" x14ac:dyDescent="0.25">
      <c r="A33" s="698" t="s">
        <v>590</v>
      </c>
      <c r="B33" s="91" t="s">
        <v>591</v>
      </c>
      <c r="C33" s="404" t="s">
        <v>592</v>
      </c>
      <c r="D33" s="404" t="s">
        <v>464</v>
      </c>
      <c r="E33" s="404"/>
      <c r="F33" s="382" t="s">
        <v>126</v>
      </c>
      <c r="G33" s="404"/>
      <c r="H33" s="521" t="s">
        <v>584</v>
      </c>
      <c r="I33" s="404" t="s">
        <v>592</v>
      </c>
      <c r="J33" s="429" t="s">
        <v>590</v>
      </c>
      <c r="K33" s="404" t="s">
        <v>467</v>
      </c>
      <c r="L33" s="404">
        <f t="shared" si="4"/>
        <v>8</v>
      </c>
      <c r="M33" s="517" t="str">
        <f t="shared" si="3"/>
        <v>Bespoke compensation likely to be required 🛠</v>
      </c>
      <c r="N33" s="404" t="s">
        <v>213</v>
      </c>
      <c r="O33" s="404">
        <f t="shared" si="1"/>
        <v>0.33</v>
      </c>
      <c r="P33" s="404" t="s">
        <v>213</v>
      </c>
      <c r="Q33" s="404">
        <f t="shared" si="2"/>
        <v>0.33</v>
      </c>
      <c r="R33" s="382"/>
      <c r="S33" s="404"/>
    </row>
    <row r="34" spans="1:19" x14ac:dyDescent="0.25">
      <c r="A34" s="698" t="s">
        <v>593</v>
      </c>
      <c r="B34" s="91" t="s">
        <v>594</v>
      </c>
      <c r="C34" s="404" t="s">
        <v>595</v>
      </c>
      <c r="D34" s="404" t="s">
        <v>464</v>
      </c>
      <c r="E34" s="404"/>
      <c r="F34" s="382" t="s">
        <v>126</v>
      </c>
      <c r="G34" s="404"/>
      <c r="H34" s="521" t="s">
        <v>566</v>
      </c>
      <c r="I34" s="404" t="s">
        <v>595</v>
      </c>
      <c r="J34" s="404" t="s">
        <v>593</v>
      </c>
      <c r="K34" s="404" t="s">
        <v>216</v>
      </c>
      <c r="L34" s="404">
        <f t="shared" si="4"/>
        <v>2</v>
      </c>
      <c r="M34" s="517" t="str">
        <f t="shared" si="3"/>
        <v>Same distinctiveness or better habitat required ≥</v>
      </c>
      <c r="N34" s="404" t="s">
        <v>216</v>
      </c>
      <c r="O34" s="404">
        <f t="shared" ref="O34:O66" si="5">VLOOKUP(N34,Difficulty,2,FALSE)</f>
        <v>1</v>
      </c>
      <c r="P34" s="404" t="s">
        <v>216</v>
      </c>
      <c r="Q34" s="404">
        <f t="shared" ref="Q34:Q66" si="6">VLOOKUP(P34,Difficulty,2,FALSE)</f>
        <v>1</v>
      </c>
      <c r="R34" s="382"/>
      <c r="S34" s="404"/>
    </row>
    <row r="35" spans="1:19" ht="27.6" x14ac:dyDescent="0.25">
      <c r="A35" s="698" t="s">
        <v>596</v>
      </c>
      <c r="B35" s="91" t="s">
        <v>597</v>
      </c>
      <c r="C35" s="404" t="s">
        <v>598</v>
      </c>
      <c r="D35" s="404" t="s">
        <v>464</v>
      </c>
      <c r="E35" s="404"/>
      <c r="F35" s="382" t="s">
        <v>126</v>
      </c>
      <c r="G35" s="404"/>
      <c r="H35" s="521" t="s">
        <v>566</v>
      </c>
      <c r="I35" s="404" t="s">
        <v>599</v>
      </c>
      <c r="J35" s="404" t="s">
        <v>600</v>
      </c>
      <c r="K35" s="404" t="s">
        <v>213</v>
      </c>
      <c r="L35" s="404">
        <f t="shared" si="4"/>
        <v>6</v>
      </c>
      <c r="M35" s="517" t="str">
        <f t="shared" si="3"/>
        <v>Same habitat required =</v>
      </c>
      <c r="N35" s="404" t="s">
        <v>70</v>
      </c>
      <c r="O35" s="404">
        <f t="shared" si="5"/>
        <v>0.67</v>
      </c>
      <c r="P35" s="404" t="s">
        <v>216</v>
      </c>
      <c r="Q35" s="404">
        <f t="shared" si="6"/>
        <v>1</v>
      </c>
      <c r="R35" s="382"/>
      <c r="S35" s="404"/>
    </row>
    <row r="36" spans="1:19" x14ac:dyDescent="0.25">
      <c r="A36" s="698" t="s">
        <v>601</v>
      </c>
      <c r="B36" s="91" t="s">
        <v>602</v>
      </c>
      <c r="C36" s="404" t="s">
        <v>603</v>
      </c>
      <c r="D36" s="404" t="s">
        <v>464</v>
      </c>
      <c r="E36" s="404"/>
      <c r="F36" s="382" t="s">
        <v>126</v>
      </c>
      <c r="G36" s="404"/>
      <c r="H36" s="521" t="s">
        <v>566</v>
      </c>
      <c r="I36" s="404" t="s">
        <v>599</v>
      </c>
      <c r="J36" s="404" t="s">
        <v>604</v>
      </c>
      <c r="K36" s="404" t="s">
        <v>216</v>
      </c>
      <c r="L36" s="404">
        <f>IF(K36=$V$3,$W$3,IF(K36=$V$3,$W$3,IF(K36=$V$4,$W$4,IF(K36=$V$5,$W$5,IF(K36=$V$6,$W$6,IF(K36=$V$7,$W$7))))))</f>
        <v>2</v>
      </c>
      <c r="M36" s="517" t="str">
        <f t="shared" si="3"/>
        <v>Same distinctiveness or better habitat required ≥</v>
      </c>
      <c r="N36" s="404" t="s">
        <v>216</v>
      </c>
      <c r="O36" s="404">
        <f t="shared" si="5"/>
        <v>1</v>
      </c>
      <c r="P36" s="404" t="s">
        <v>216</v>
      </c>
      <c r="Q36" s="404">
        <f t="shared" si="6"/>
        <v>1</v>
      </c>
      <c r="R36" s="382"/>
      <c r="S36" s="404"/>
    </row>
    <row r="37" spans="1:19" x14ac:dyDescent="0.25">
      <c r="A37" s="698" t="s">
        <v>605</v>
      </c>
      <c r="B37" s="558" t="s">
        <v>606</v>
      </c>
      <c r="C37" s="559" t="s">
        <v>607</v>
      </c>
      <c r="D37" s="559" t="s">
        <v>464</v>
      </c>
      <c r="E37" s="559"/>
      <c r="F37" s="395" t="s">
        <v>126</v>
      </c>
      <c r="G37" s="559"/>
      <c r="H37" s="560" t="s">
        <v>566</v>
      </c>
      <c r="I37" s="559" t="s">
        <v>607</v>
      </c>
      <c r="J37" s="559" t="s">
        <v>605</v>
      </c>
      <c r="K37" s="559" t="s">
        <v>70</v>
      </c>
      <c r="L37" s="559">
        <v>4</v>
      </c>
      <c r="M37" s="561" t="s">
        <v>215</v>
      </c>
      <c r="N37" s="559" t="s">
        <v>70</v>
      </c>
      <c r="O37" s="559">
        <v>0.67</v>
      </c>
      <c r="P37" s="559" t="s">
        <v>216</v>
      </c>
      <c r="Q37" s="559">
        <v>1</v>
      </c>
      <c r="R37" s="395"/>
      <c r="S37" s="559"/>
    </row>
    <row r="38" spans="1:19" ht="14.4" thickBot="1" x14ac:dyDescent="0.3">
      <c r="A38" s="698" t="s">
        <v>608</v>
      </c>
      <c r="B38" s="178" t="s">
        <v>609</v>
      </c>
      <c r="C38" s="388" t="s">
        <v>610</v>
      </c>
      <c r="D38" s="388" t="s">
        <v>464</v>
      </c>
      <c r="E38" s="388"/>
      <c r="F38" s="371" t="s">
        <v>126</v>
      </c>
      <c r="G38" s="388"/>
      <c r="H38" s="522" t="s">
        <v>584</v>
      </c>
      <c r="I38" s="388" t="s">
        <v>610</v>
      </c>
      <c r="J38" s="431" t="s">
        <v>611</v>
      </c>
      <c r="K38" s="388" t="s">
        <v>213</v>
      </c>
      <c r="L38" s="388">
        <f t="shared" si="4"/>
        <v>6</v>
      </c>
      <c r="M38" s="518" t="str">
        <f t="shared" si="3"/>
        <v>Same habitat required =</v>
      </c>
      <c r="N38" s="388" t="s">
        <v>70</v>
      </c>
      <c r="O38" s="388">
        <f t="shared" si="5"/>
        <v>0.67</v>
      </c>
      <c r="P38" s="388" t="s">
        <v>70</v>
      </c>
      <c r="Q38" s="388">
        <f t="shared" si="6"/>
        <v>0.67</v>
      </c>
      <c r="R38" s="371"/>
      <c r="S38" s="388"/>
    </row>
    <row r="39" spans="1:19" ht="27.6" x14ac:dyDescent="0.25">
      <c r="A39" s="698" t="s">
        <v>612</v>
      </c>
      <c r="B39" s="179" t="s">
        <v>613</v>
      </c>
      <c r="C39" s="383" t="s">
        <v>614</v>
      </c>
      <c r="D39" s="383" t="s">
        <v>615</v>
      </c>
      <c r="E39" s="383"/>
      <c r="F39" s="370" t="s">
        <v>127</v>
      </c>
      <c r="G39" s="383"/>
      <c r="H39" s="523" t="s">
        <v>616</v>
      </c>
      <c r="I39" s="383" t="s">
        <v>614</v>
      </c>
      <c r="J39" s="432" t="s">
        <v>612</v>
      </c>
      <c r="K39" s="383" t="s">
        <v>467</v>
      </c>
      <c r="L39" s="383">
        <f t="shared" si="4"/>
        <v>8</v>
      </c>
      <c r="M39" s="519" t="str">
        <f t="shared" si="3"/>
        <v>Bespoke compensation likely to be required 🛠</v>
      </c>
      <c r="N39" s="383" t="s">
        <v>211</v>
      </c>
      <c r="O39" s="383">
        <f t="shared" si="5"/>
        <v>0.1</v>
      </c>
      <c r="P39" s="383" t="s">
        <v>213</v>
      </c>
      <c r="Q39" s="383">
        <f t="shared" si="6"/>
        <v>0.33</v>
      </c>
      <c r="R39" s="370"/>
      <c r="S39" s="383"/>
    </row>
    <row r="40" spans="1:19" x14ac:dyDescent="0.25">
      <c r="A40" s="698" t="s">
        <v>617</v>
      </c>
      <c r="B40" s="91" t="s">
        <v>618</v>
      </c>
      <c r="C40" s="404">
        <v>362</v>
      </c>
      <c r="D40" s="404" t="s">
        <v>464</v>
      </c>
      <c r="E40" s="404"/>
      <c r="F40" s="370" t="s">
        <v>127</v>
      </c>
      <c r="G40" s="404"/>
      <c r="H40" s="521" t="s">
        <v>619</v>
      </c>
      <c r="I40" s="404"/>
      <c r="J40" s="404" t="s">
        <v>617</v>
      </c>
      <c r="K40" s="404" t="s">
        <v>216</v>
      </c>
      <c r="L40" s="404">
        <f>IF(K40=$V$3,$W$3,IF(K40=$V$3,$W$3,IF(K40=$V$4,$W$4,IF(K40=$V$5,$W$5,IF(K40=$V$6,$W$6,IF(K40=$V$7,$W$7))))))</f>
        <v>2</v>
      </c>
      <c r="M40" s="517" t="str">
        <f>IF($K40=$V$3,$X$3,IF($K40=$V$4,$X$4,IF($K40=$V$5,$X$5,IF($K40=$V$6,$X$6,IF($K40=$V$7,$X$7)))))</f>
        <v>Same distinctiveness or better habitat required ≥</v>
      </c>
      <c r="N40" s="404" t="s">
        <v>216</v>
      </c>
      <c r="O40" s="404">
        <f>VLOOKUP(N40,Difficulty,2,FALSE)</f>
        <v>1</v>
      </c>
      <c r="P40" s="404" t="s">
        <v>213</v>
      </c>
      <c r="Q40" s="404">
        <f>VLOOKUP(P40,Difficulty,2,FALSE)</f>
        <v>0.33</v>
      </c>
      <c r="R40" s="382"/>
      <c r="S40" s="404"/>
    </row>
    <row r="41" spans="1:19" x14ac:dyDescent="0.25">
      <c r="A41" s="698" t="s">
        <v>620</v>
      </c>
      <c r="B41" s="91" t="s">
        <v>621</v>
      </c>
      <c r="C41" s="404" t="s">
        <v>622</v>
      </c>
      <c r="D41" s="404" t="s">
        <v>615</v>
      </c>
      <c r="E41" s="404"/>
      <c r="F41" s="382" t="s">
        <v>127</v>
      </c>
      <c r="G41" s="404"/>
      <c r="H41" s="521" t="s">
        <v>616</v>
      </c>
      <c r="I41" s="404"/>
      <c r="J41" s="429"/>
      <c r="K41" s="404" t="s">
        <v>213</v>
      </c>
      <c r="L41" s="404">
        <f t="shared" ref="L41:L46" si="7">IF(K41=$V$3,$W$3,IF(K41=$V$3,$W$3,IF(K41=$V$4,$W$4,IF(K41=$V$5,$W$5,IF(K41=$V$6,$W$6,IF(K41=$V$7,$W$7))))))</f>
        <v>6</v>
      </c>
      <c r="M41" s="517" t="str">
        <f t="shared" si="3"/>
        <v>Same habitat required =</v>
      </c>
      <c r="N41" s="404" t="s">
        <v>213</v>
      </c>
      <c r="O41" s="404">
        <f t="shared" si="5"/>
        <v>0.33</v>
      </c>
      <c r="P41" s="404" t="s">
        <v>213</v>
      </c>
      <c r="Q41" s="404">
        <f t="shared" si="6"/>
        <v>0.33</v>
      </c>
      <c r="R41" s="382"/>
      <c r="S41" s="404"/>
    </row>
    <row r="42" spans="1:19" x14ac:dyDescent="0.25">
      <c r="A42" s="698" t="s">
        <v>623</v>
      </c>
      <c r="B42" s="91" t="s">
        <v>624</v>
      </c>
      <c r="C42" s="404" t="s">
        <v>625</v>
      </c>
      <c r="D42" s="404" t="s">
        <v>615</v>
      </c>
      <c r="E42" s="404"/>
      <c r="F42" s="382" t="s">
        <v>127</v>
      </c>
      <c r="G42" s="404"/>
      <c r="H42" s="521" t="s">
        <v>616</v>
      </c>
      <c r="I42" s="404"/>
      <c r="J42" s="429"/>
      <c r="K42" s="404" t="s">
        <v>213</v>
      </c>
      <c r="L42" s="404">
        <f t="shared" si="7"/>
        <v>6</v>
      </c>
      <c r="M42" s="517" t="str">
        <f t="shared" si="3"/>
        <v>Same habitat required =</v>
      </c>
      <c r="N42" s="404" t="s">
        <v>213</v>
      </c>
      <c r="O42" s="404">
        <f t="shared" si="5"/>
        <v>0.33</v>
      </c>
      <c r="P42" s="404" t="s">
        <v>70</v>
      </c>
      <c r="Q42" s="404">
        <f t="shared" si="6"/>
        <v>0.67</v>
      </c>
      <c r="R42" s="382"/>
      <c r="S42" s="404"/>
    </row>
    <row r="43" spans="1:19" x14ac:dyDescent="0.25">
      <c r="A43" s="698" t="s">
        <v>626</v>
      </c>
      <c r="B43" s="91" t="s">
        <v>627</v>
      </c>
      <c r="C43" s="404" t="s">
        <v>628</v>
      </c>
      <c r="D43" s="404" t="s">
        <v>615</v>
      </c>
      <c r="E43" s="404"/>
      <c r="F43" s="382" t="s">
        <v>127</v>
      </c>
      <c r="G43" s="404"/>
      <c r="H43" s="521" t="s">
        <v>616</v>
      </c>
      <c r="I43" s="404"/>
      <c r="J43" s="429"/>
      <c r="K43" s="404" t="s">
        <v>213</v>
      </c>
      <c r="L43" s="404">
        <f t="shared" si="7"/>
        <v>6</v>
      </c>
      <c r="M43" s="517" t="str">
        <f t="shared" si="3"/>
        <v>Same habitat required =</v>
      </c>
      <c r="N43" s="404" t="s">
        <v>213</v>
      </c>
      <c r="O43" s="404">
        <f t="shared" si="5"/>
        <v>0.33</v>
      </c>
      <c r="P43" s="404" t="s">
        <v>213</v>
      </c>
      <c r="Q43" s="404">
        <f t="shared" si="6"/>
        <v>0.33</v>
      </c>
      <c r="R43" s="382"/>
      <c r="S43" s="404"/>
    </row>
    <row r="44" spans="1:19" x14ac:dyDescent="0.25">
      <c r="A44" s="698" t="s">
        <v>629</v>
      </c>
      <c r="B44" s="91" t="s">
        <v>630</v>
      </c>
      <c r="C44" s="404" t="s">
        <v>631</v>
      </c>
      <c r="D44" s="404" t="s">
        <v>615</v>
      </c>
      <c r="E44" s="404"/>
      <c r="F44" s="382" t="s">
        <v>127</v>
      </c>
      <c r="G44" s="404"/>
      <c r="H44" s="521" t="s">
        <v>616</v>
      </c>
      <c r="I44" s="404"/>
      <c r="J44" s="429"/>
      <c r="K44" s="404" t="s">
        <v>213</v>
      </c>
      <c r="L44" s="404">
        <f t="shared" si="7"/>
        <v>6</v>
      </c>
      <c r="M44" s="517" t="str">
        <f t="shared" si="3"/>
        <v>Same habitat required =</v>
      </c>
      <c r="N44" s="404" t="s">
        <v>213</v>
      </c>
      <c r="O44" s="404">
        <f t="shared" si="5"/>
        <v>0.33</v>
      </c>
      <c r="P44" s="404" t="s">
        <v>213</v>
      </c>
      <c r="Q44" s="404">
        <f t="shared" si="6"/>
        <v>0.33</v>
      </c>
      <c r="R44" s="382"/>
      <c r="S44" s="404"/>
    </row>
    <row r="45" spans="1:19" x14ac:dyDescent="0.25">
      <c r="A45" s="698" t="s">
        <v>632</v>
      </c>
      <c r="B45" s="91" t="s">
        <v>633</v>
      </c>
      <c r="C45" s="404" t="s">
        <v>634</v>
      </c>
      <c r="D45" s="404" t="s">
        <v>615</v>
      </c>
      <c r="E45" s="404"/>
      <c r="F45" s="382" t="s">
        <v>127</v>
      </c>
      <c r="G45" s="404"/>
      <c r="H45" s="521" t="s">
        <v>616</v>
      </c>
      <c r="I45" s="404"/>
      <c r="J45" s="429"/>
      <c r="K45" s="404" t="s">
        <v>213</v>
      </c>
      <c r="L45" s="404">
        <f t="shared" si="7"/>
        <v>6</v>
      </c>
      <c r="M45" s="517" t="str">
        <f t="shared" si="3"/>
        <v>Same habitat required =</v>
      </c>
      <c r="N45" s="404" t="s">
        <v>213</v>
      </c>
      <c r="O45" s="404">
        <f t="shared" si="5"/>
        <v>0.33</v>
      </c>
      <c r="P45" s="404" t="s">
        <v>213</v>
      </c>
      <c r="Q45" s="404">
        <f t="shared" si="6"/>
        <v>0.33</v>
      </c>
      <c r="R45" s="382"/>
      <c r="S45" s="404"/>
    </row>
    <row r="46" spans="1:19" x14ac:dyDescent="0.25">
      <c r="A46" s="698" t="s">
        <v>635</v>
      </c>
      <c r="B46" s="91" t="s">
        <v>636</v>
      </c>
      <c r="C46" s="404" t="s">
        <v>637</v>
      </c>
      <c r="D46" s="404" t="s">
        <v>615</v>
      </c>
      <c r="E46" s="404"/>
      <c r="F46" s="382" t="s">
        <v>127</v>
      </c>
      <c r="G46" s="404"/>
      <c r="H46" s="521" t="s">
        <v>616</v>
      </c>
      <c r="I46" s="404"/>
      <c r="J46" s="429"/>
      <c r="K46" s="404" t="s">
        <v>213</v>
      </c>
      <c r="L46" s="404">
        <f t="shared" si="7"/>
        <v>6</v>
      </c>
      <c r="M46" s="517" t="str">
        <f t="shared" si="3"/>
        <v>Same habitat required =</v>
      </c>
      <c r="N46" s="404" t="s">
        <v>70</v>
      </c>
      <c r="O46" s="404">
        <f t="shared" si="5"/>
        <v>0.67</v>
      </c>
      <c r="P46" s="404" t="s">
        <v>70</v>
      </c>
      <c r="Q46" s="404">
        <f t="shared" si="6"/>
        <v>0.67</v>
      </c>
      <c r="R46" s="382"/>
      <c r="S46" s="404"/>
    </row>
    <row r="47" spans="1:19" x14ac:dyDescent="0.25">
      <c r="A47" s="698" t="s">
        <v>638</v>
      </c>
      <c r="B47" s="91" t="s">
        <v>639</v>
      </c>
      <c r="C47" s="404" t="s">
        <v>640</v>
      </c>
      <c r="D47" s="404" t="s">
        <v>615</v>
      </c>
      <c r="E47" s="404"/>
      <c r="F47" s="382" t="s">
        <v>127</v>
      </c>
      <c r="G47" s="404"/>
      <c r="H47" s="521" t="s">
        <v>616</v>
      </c>
      <c r="I47" s="404" t="s">
        <v>641</v>
      </c>
      <c r="J47" s="429"/>
      <c r="K47" s="404" t="s">
        <v>70</v>
      </c>
      <c r="L47" s="404">
        <f t="shared" si="4"/>
        <v>4</v>
      </c>
      <c r="M47" s="517" t="str">
        <f t="shared" si="3"/>
        <v>Same broad habitat or a higher distinctiveness habitat required (≥)</v>
      </c>
      <c r="N47" s="404" t="s">
        <v>216</v>
      </c>
      <c r="O47" s="404">
        <f t="shared" si="5"/>
        <v>1</v>
      </c>
      <c r="P47" s="404" t="s">
        <v>70</v>
      </c>
      <c r="Q47" s="404">
        <f t="shared" si="6"/>
        <v>0.67</v>
      </c>
      <c r="R47" s="382"/>
      <c r="S47" s="404"/>
    </row>
    <row r="48" spans="1:19" x14ac:dyDescent="0.25">
      <c r="A48" s="698" t="s">
        <v>642</v>
      </c>
      <c r="B48" s="91" t="s">
        <v>643</v>
      </c>
      <c r="C48" s="404">
        <v>108</v>
      </c>
      <c r="D48" s="404" t="s">
        <v>615</v>
      </c>
      <c r="E48" s="404"/>
      <c r="F48" s="382" t="s">
        <v>127</v>
      </c>
      <c r="G48" s="404"/>
      <c r="H48" s="521" t="s">
        <v>616</v>
      </c>
      <c r="I48" s="404"/>
      <c r="J48" s="404"/>
      <c r="K48" s="404" t="s">
        <v>70</v>
      </c>
      <c r="L48" s="404">
        <f t="shared" si="4"/>
        <v>4</v>
      </c>
      <c r="M48" s="517" t="str">
        <f t="shared" si="3"/>
        <v>Same broad habitat or a higher distinctiveness habitat required (≥)</v>
      </c>
      <c r="N48" s="404" t="s">
        <v>70</v>
      </c>
      <c r="O48" s="404">
        <f t="shared" si="5"/>
        <v>0.67</v>
      </c>
      <c r="P48" s="404" t="s">
        <v>70</v>
      </c>
      <c r="Q48" s="404">
        <f t="shared" si="6"/>
        <v>0.67</v>
      </c>
      <c r="R48" s="382"/>
      <c r="S48" s="404"/>
    </row>
    <row r="49" spans="1:19" ht="28.2" thickBot="1" x14ac:dyDescent="0.3">
      <c r="A49" s="698" t="s">
        <v>644</v>
      </c>
      <c r="B49" s="178" t="s">
        <v>645</v>
      </c>
      <c r="C49" s="404" t="s">
        <v>646</v>
      </c>
      <c r="D49" s="388" t="s">
        <v>615</v>
      </c>
      <c r="E49" s="388"/>
      <c r="F49" s="371" t="s">
        <v>127</v>
      </c>
      <c r="G49" s="388"/>
      <c r="H49" s="522" t="s">
        <v>616</v>
      </c>
      <c r="I49" s="388" t="s">
        <v>647</v>
      </c>
      <c r="J49" s="431"/>
      <c r="K49" s="388" t="s">
        <v>213</v>
      </c>
      <c r="L49" s="388">
        <f t="shared" si="4"/>
        <v>6</v>
      </c>
      <c r="M49" s="518" t="str">
        <f t="shared" si="3"/>
        <v>Same habitat required =</v>
      </c>
      <c r="N49" s="388" t="s">
        <v>70</v>
      </c>
      <c r="O49" s="388">
        <f t="shared" si="5"/>
        <v>0.67</v>
      </c>
      <c r="P49" s="388" t="s">
        <v>70</v>
      </c>
      <c r="Q49" s="388">
        <f t="shared" si="6"/>
        <v>0.67</v>
      </c>
      <c r="R49" s="371"/>
      <c r="S49" s="388"/>
    </row>
    <row r="50" spans="1:19" x14ac:dyDescent="0.25">
      <c r="A50" s="698" t="s">
        <v>648</v>
      </c>
      <c r="B50" s="179" t="s">
        <v>649</v>
      </c>
      <c r="C50" s="383" t="s">
        <v>650</v>
      </c>
      <c r="D50" s="383" t="s">
        <v>615</v>
      </c>
      <c r="E50" s="383"/>
      <c r="F50" s="370" t="s">
        <v>128</v>
      </c>
      <c r="G50" s="383"/>
      <c r="H50" s="523" t="s">
        <v>651</v>
      </c>
      <c r="I50" s="383"/>
      <c r="J50" s="432" t="s">
        <v>648</v>
      </c>
      <c r="K50" s="383" t="s">
        <v>467</v>
      </c>
      <c r="L50" s="383">
        <f t="shared" ref="L50:L78" si="8">IF(K50=$V$3,$W$3,IF(K50=$V$3,$W$3,IF(K50=$V$4,$W$4,IF(K50=$V$5,$W$5,IF(K50=$V$6,$W$6,IF(K50=$V$7,$W$7))))))</f>
        <v>8</v>
      </c>
      <c r="M50" s="519" t="str">
        <f t="shared" si="3"/>
        <v>Bespoke compensation likely to be required 🛠</v>
      </c>
      <c r="N50" s="383" t="s">
        <v>211</v>
      </c>
      <c r="O50" s="383">
        <f t="shared" si="5"/>
        <v>0.1</v>
      </c>
      <c r="P50" s="383" t="s">
        <v>70</v>
      </c>
      <c r="Q50" s="383">
        <f t="shared" si="6"/>
        <v>0.67</v>
      </c>
      <c r="R50" s="370"/>
      <c r="S50" s="383"/>
    </row>
    <row r="51" spans="1:19" x14ac:dyDescent="0.25">
      <c r="A51" s="698" t="s">
        <v>652</v>
      </c>
      <c r="B51" s="91" t="s">
        <v>653</v>
      </c>
      <c r="C51" s="404" t="s">
        <v>654</v>
      </c>
      <c r="D51" s="404" t="s">
        <v>615</v>
      </c>
      <c r="E51" s="404"/>
      <c r="F51" s="382" t="s">
        <v>128</v>
      </c>
      <c r="G51" s="404"/>
      <c r="H51" s="521" t="s">
        <v>655</v>
      </c>
      <c r="I51" s="404"/>
      <c r="J51" s="404"/>
      <c r="K51" s="404" t="s">
        <v>213</v>
      </c>
      <c r="L51" s="404">
        <f t="shared" si="8"/>
        <v>6</v>
      </c>
      <c r="M51" s="517" t="str">
        <f t="shared" si="3"/>
        <v>Same habitat required =</v>
      </c>
      <c r="N51" s="404" t="s">
        <v>211</v>
      </c>
      <c r="O51" s="404">
        <f t="shared" si="5"/>
        <v>0.1</v>
      </c>
      <c r="P51" s="404" t="s">
        <v>70</v>
      </c>
      <c r="Q51" s="404">
        <f t="shared" si="6"/>
        <v>0.67</v>
      </c>
      <c r="R51" s="382"/>
      <c r="S51" s="404"/>
    </row>
    <row r="52" spans="1:19" x14ac:dyDescent="0.25">
      <c r="A52" s="698" t="s">
        <v>656</v>
      </c>
      <c r="B52" s="91" t="s">
        <v>657</v>
      </c>
      <c r="C52" s="404" t="s">
        <v>658</v>
      </c>
      <c r="D52" s="404" t="s">
        <v>464</v>
      </c>
      <c r="E52" s="404"/>
      <c r="F52" s="382" t="s">
        <v>128</v>
      </c>
      <c r="G52" s="404"/>
      <c r="H52" s="521" t="s">
        <v>655</v>
      </c>
      <c r="I52" s="404" t="s">
        <v>650</v>
      </c>
      <c r="J52" s="429"/>
      <c r="K52" s="404" t="s">
        <v>213</v>
      </c>
      <c r="L52" s="404">
        <f t="shared" si="8"/>
        <v>6</v>
      </c>
      <c r="M52" s="517" t="str">
        <f t="shared" si="3"/>
        <v>Same habitat required =</v>
      </c>
      <c r="N52" s="404" t="s">
        <v>211</v>
      </c>
      <c r="O52" s="404">
        <f t="shared" si="5"/>
        <v>0.1</v>
      </c>
      <c r="P52" s="404" t="s">
        <v>70</v>
      </c>
      <c r="Q52" s="404">
        <f t="shared" si="6"/>
        <v>0.67</v>
      </c>
      <c r="R52" s="382"/>
      <c r="S52" s="404"/>
    </row>
    <row r="53" spans="1:19" x14ac:dyDescent="0.25">
      <c r="A53" s="698" t="s">
        <v>659</v>
      </c>
      <c r="B53" s="91" t="s">
        <v>660</v>
      </c>
      <c r="C53" s="404">
        <v>17</v>
      </c>
      <c r="D53" s="404" t="s">
        <v>464</v>
      </c>
      <c r="E53" s="404"/>
      <c r="F53" s="382" t="s">
        <v>128</v>
      </c>
      <c r="G53" s="404"/>
      <c r="H53" s="521"/>
      <c r="I53" s="404"/>
      <c r="J53" s="404" t="s">
        <v>661</v>
      </c>
      <c r="K53" s="404" t="s">
        <v>216</v>
      </c>
      <c r="L53" s="404">
        <f t="shared" si="8"/>
        <v>2</v>
      </c>
      <c r="M53" s="517" t="str">
        <f t="shared" si="3"/>
        <v>Same distinctiveness or better habitat required ≥</v>
      </c>
      <c r="N53" s="404" t="s">
        <v>216</v>
      </c>
      <c r="O53" s="404">
        <f t="shared" si="5"/>
        <v>1</v>
      </c>
      <c r="P53" s="404" t="s">
        <v>70</v>
      </c>
      <c r="Q53" s="404">
        <f t="shared" si="6"/>
        <v>0.67</v>
      </c>
      <c r="R53" s="382" t="s">
        <v>662</v>
      </c>
      <c r="S53" s="404"/>
    </row>
    <row r="54" spans="1:19" x14ac:dyDescent="0.25">
      <c r="A54" s="698" t="s">
        <v>663</v>
      </c>
      <c r="B54" s="91" t="s">
        <v>664</v>
      </c>
      <c r="C54" s="404">
        <v>16</v>
      </c>
      <c r="D54" s="404" t="s">
        <v>464</v>
      </c>
      <c r="E54" s="404"/>
      <c r="F54" s="382" t="s">
        <v>128</v>
      </c>
      <c r="G54" s="404"/>
      <c r="H54" s="521"/>
      <c r="I54" s="404"/>
      <c r="J54" s="404" t="s">
        <v>661</v>
      </c>
      <c r="K54" s="404" t="s">
        <v>216</v>
      </c>
      <c r="L54" s="404">
        <v>2</v>
      </c>
      <c r="M54" s="517" t="str">
        <f t="shared" si="3"/>
        <v>Same distinctiveness or better habitat required ≥</v>
      </c>
      <c r="N54" s="404" t="s">
        <v>216</v>
      </c>
      <c r="O54" s="404">
        <v>1</v>
      </c>
      <c r="P54" s="404" t="s">
        <v>70</v>
      </c>
      <c r="Q54" s="404">
        <v>0.67</v>
      </c>
      <c r="R54" s="382"/>
      <c r="S54" s="404"/>
    </row>
    <row r="55" spans="1:19" ht="27.6" x14ac:dyDescent="0.25">
      <c r="A55" s="698" t="s">
        <v>665</v>
      </c>
      <c r="B55" s="91" t="s">
        <v>666</v>
      </c>
      <c r="C55" s="404" t="s">
        <v>667</v>
      </c>
      <c r="D55" s="404" t="s">
        <v>464</v>
      </c>
      <c r="E55" s="404" t="s">
        <v>668</v>
      </c>
      <c r="F55" s="382" t="s">
        <v>128</v>
      </c>
      <c r="G55" s="404" t="s">
        <v>669</v>
      </c>
      <c r="H55" s="521" t="s">
        <v>651</v>
      </c>
      <c r="I55" s="404" t="s">
        <v>667</v>
      </c>
      <c r="J55" s="429" t="s">
        <v>665</v>
      </c>
      <c r="K55" s="404" t="s">
        <v>213</v>
      </c>
      <c r="L55" s="404">
        <f t="shared" si="8"/>
        <v>6</v>
      </c>
      <c r="M55" s="517" t="str">
        <f t="shared" si="3"/>
        <v>Same habitat required =</v>
      </c>
      <c r="N55" s="404" t="s">
        <v>213</v>
      </c>
      <c r="O55" s="404">
        <f t="shared" si="5"/>
        <v>0.33</v>
      </c>
      <c r="P55" s="404" t="s">
        <v>216</v>
      </c>
      <c r="Q55" s="404">
        <f t="shared" si="6"/>
        <v>1</v>
      </c>
      <c r="R55" s="382"/>
      <c r="S55" s="404"/>
    </row>
    <row r="56" spans="1:19" x14ac:dyDescent="0.25">
      <c r="A56" s="698" t="s">
        <v>670</v>
      </c>
      <c r="B56" s="91" t="s">
        <v>671</v>
      </c>
      <c r="C56" s="404" t="s">
        <v>672</v>
      </c>
      <c r="D56" s="404" t="s">
        <v>464</v>
      </c>
      <c r="E56" s="404"/>
      <c r="F56" s="382" t="s">
        <v>128</v>
      </c>
      <c r="G56" s="404"/>
      <c r="H56" s="521" t="s">
        <v>651</v>
      </c>
      <c r="I56" s="404" t="s">
        <v>672</v>
      </c>
      <c r="J56" s="429" t="s">
        <v>670</v>
      </c>
      <c r="K56" s="404" t="s">
        <v>467</v>
      </c>
      <c r="L56" s="404">
        <f t="shared" si="8"/>
        <v>8</v>
      </c>
      <c r="M56" s="517" t="str">
        <f t="shared" si="3"/>
        <v>Bespoke compensation likely to be required 🛠</v>
      </c>
      <c r="N56" s="404" t="s">
        <v>211</v>
      </c>
      <c r="O56" s="404">
        <f t="shared" si="5"/>
        <v>0.1</v>
      </c>
      <c r="P56" s="404" t="s">
        <v>70</v>
      </c>
      <c r="Q56" s="404">
        <f t="shared" si="6"/>
        <v>0.67</v>
      </c>
      <c r="R56" s="382"/>
      <c r="S56" s="404"/>
    </row>
    <row r="57" spans="1:19" x14ac:dyDescent="0.25">
      <c r="A57" s="698" t="s">
        <v>673</v>
      </c>
      <c r="B57" s="91" t="s">
        <v>674</v>
      </c>
      <c r="C57" s="404" t="s">
        <v>675</v>
      </c>
      <c r="D57" s="404" t="s">
        <v>464</v>
      </c>
      <c r="E57" s="404"/>
      <c r="F57" s="382" t="s">
        <v>128</v>
      </c>
      <c r="G57" s="404" t="s">
        <v>676</v>
      </c>
      <c r="H57" s="521" t="s">
        <v>677</v>
      </c>
      <c r="I57" s="404" t="s">
        <v>675</v>
      </c>
      <c r="J57" s="429" t="s">
        <v>673</v>
      </c>
      <c r="K57" s="404" t="s">
        <v>213</v>
      </c>
      <c r="L57" s="404">
        <f t="shared" si="8"/>
        <v>6</v>
      </c>
      <c r="M57" s="517" t="str">
        <f t="shared" si="3"/>
        <v>Same habitat required =</v>
      </c>
      <c r="N57" s="404" t="s">
        <v>213</v>
      </c>
      <c r="O57" s="404">
        <f t="shared" si="5"/>
        <v>0.33</v>
      </c>
      <c r="P57" s="404" t="s">
        <v>70</v>
      </c>
      <c r="Q57" s="404">
        <f t="shared" si="6"/>
        <v>0.67</v>
      </c>
      <c r="R57" s="382"/>
      <c r="S57" s="404"/>
    </row>
    <row r="58" spans="1:19" ht="14.4" thickBot="1" x14ac:dyDescent="0.3">
      <c r="A58" s="698" t="s">
        <v>678</v>
      </c>
      <c r="B58" s="178" t="s">
        <v>679</v>
      </c>
      <c r="C58" s="388" t="s">
        <v>680</v>
      </c>
      <c r="D58" s="388" t="s">
        <v>464</v>
      </c>
      <c r="E58" s="388"/>
      <c r="F58" s="371" t="s">
        <v>128</v>
      </c>
      <c r="G58" s="388"/>
      <c r="H58" s="522" t="s">
        <v>651</v>
      </c>
      <c r="I58" s="388" t="s">
        <v>680</v>
      </c>
      <c r="J58" s="388" t="s">
        <v>678</v>
      </c>
      <c r="K58" s="388" t="s">
        <v>70</v>
      </c>
      <c r="L58" s="388">
        <f t="shared" si="8"/>
        <v>4</v>
      </c>
      <c r="M58" s="518" t="str">
        <f t="shared" si="3"/>
        <v>Same broad habitat or a higher distinctiveness habitat required (≥)</v>
      </c>
      <c r="N58" s="388" t="s">
        <v>70</v>
      </c>
      <c r="O58" s="388">
        <f t="shared" si="5"/>
        <v>0.67</v>
      </c>
      <c r="P58" s="388" t="s">
        <v>70</v>
      </c>
      <c r="Q58" s="388">
        <f t="shared" si="6"/>
        <v>0.67</v>
      </c>
      <c r="R58" s="371"/>
      <c r="S58" s="388"/>
    </row>
    <row r="59" spans="1:19" x14ac:dyDescent="0.25">
      <c r="A59" s="698" t="s">
        <v>681</v>
      </c>
      <c r="B59" s="179" t="s">
        <v>682</v>
      </c>
      <c r="C59" s="383">
        <v>910</v>
      </c>
      <c r="D59" s="383" t="s">
        <v>464</v>
      </c>
      <c r="E59" s="383"/>
      <c r="F59" s="370" t="s">
        <v>129</v>
      </c>
      <c r="G59" s="383"/>
      <c r="H59" s="523" t="s">
        <v>619</v>
      </c>
      <c r="I59" s="383"/>
      <c r="J59" s="383" t="s">
        <v>681</v>
      </c>
      <c r="K59" s="383" t="s">
        <v>216</v>
      </c>
      <c r="L59" s="383">
        <f t="shared" si="8"/>
        <v>2</v>
      </c>
      <c r="M59" s="519" t="str">
        <f t="shared" si="3"/>
        <v>Same distinctiveness or better habitat required ≥</v>
      </c>
      <c r="N59" s="383" t="s">
        <v>216</v>
      </c>
      <c r="O59" s="383">
        <f t="shared" si="5"/>
        <v>1</v>
      </c>
      <c r="P59" s="383" t="s">
        <v>216</v>
      </c>
      <c r="Q59" s="383">
        <f t="shared" si="6"/>
        <v>1</v>
      </c>
      <c r="R59" s="370"/>
      <c r="S59" s="383"/>
    </row>
    <row r="60" spans="1:19" ht="27.6" x14ac:dyDescent="0.25">
      <c r="A60" s="698" t="s">
        <v>683</v>
      </c>
      <c r="B60" s="91" t="s">
        <v>684</v>
      </c>
      <c r="C60" s="404" t="s">
        <v>685</v>
      </c>
      <c r="D60" s="404" t="s">
        <v>464</v>
      </c>
      <c r="E60" s="404"/>
      <c r="F60" s="382" t="s">
        <v>129</v>
      </c>
      <c r="G60" s="404"/>
      <c r="H60" s="521" t="s">
        <v>619</v>
      </c>
      <c r="I60" s="404" t="s">
        <v>685</v>
      </c>
      <c r="J60" s="404" t="s">
        <v>683</v>
      </c>
      <c r="K60" s="404" t="s">
        <v>486</v>
      </c>
      <c r="L60" s="404">
        <f t="shared" si="8"/>
        <v>0</v>
      </c>
      <c r="M60" s="517" t="str">
        <f t="shared" si="3"/>
        <v>Compensation Not Required</v>
      </c>
      <c r="N60" s="404" t="s">
        <v>216</v>
      </c>
      <c r="O60" s="404">
        <f t="shared" si="5"/>
        <v>1</v>
      </c>
      <c r="P60" s="404" t="s">
        <v>216</v>
      </c>
      <c r="Q60" s="404">
        <f t="shared" si="6"/>
        <v>1</v>
      </c>
      <c r="R60" s="382"/>
      <c r="S60" s="404"/>
    </row>
    <row r="61" spans="1:19" x14ac:dyDescent="0.25">
      <c r="A61" s="698" t="s">
        <v>686</v>
      </c>
      <c r="B61" s="91" t="s">
        <v>687</v>
      </c>
      <c r="C61" s="404">
        <v>1191</v>
      </c>
      <c r="D61" s="404" t="s">
        <v>464</v>
      </c>
      <c r="E61" s="404"/>
      <c r="F61" s="382" t="s">
        <v>129</v>
      </c>
      <c r="G61" s="404"/>
      <c r="H61" s="521" t="s">
        <v>619</v>
      </c>
      <c r="I61" s="404"/>
      <c r="J61" s="404" t="s">
        <v>686</v>
      </c>
      <c r="K61" s="404" t="s">
        <v>216</v>
      </c>
      <c r="L61" s="404">
        <f t="shared" si="8"/>
        <v>2</v>
      </c>
      <c r="M61" s="517" t="str">
        <f t="shared" si="3"/>
        <v>Same distinctiveness or better habitat required ≥</v>
      </c>
      <c r="N61" s="404" t="s">
        <v>70</v>
      </c>
      <c r="O61" s="404">
        <f t="shared" si="5"/>
        <v>0.67</v>
      </c>
      <c r="P61" s="404" t="s">
        <v>216</v>
      </c>
      <c r="Q61" s="404">
        <f t="shared" si="6"/>
        <v>1</v>
      </c>
      <c r="R61" s="382"/>
      <c r="S61" s="404"/>
    </row>
    <row r="62" spans="1:19" x14ac:dyDescent="0.25">
      <c r="A62" s="698" t="s">
        <v>688</v>
      </c>
      <c r="B62" s="91" t="s">
        <v>689</v>
      </c>
      <c r="C62" s="404" t="s">
        <v>690</v>
      </c>
      <c r="D62" s="404" t="s">
        <v>464</v>
      </c>
      <c r="E62" s="404"/>
      <c r="F62" s="382" t="s">
        <v>129</v>
      </c>
      <c r="G62" s="404"/>
      <c r="H62" s="521" t="s">
        <v>619</v>
      </c>
      <c r="I62" s="404"/>
      <c r="J62" s="404"/>
      <c r="K62" s="404" t="s">
        <v>216</v>
      </c>
      <c r="L62" s="404">
        <f t="shared" si="8"/>
        <v>2</v>
      </c>
      <c r="M62" s="517" t="str">
        <f t="shared" si="3"/>
        <v>Same distinctiveness or better habitat required ≥</v>
      </c>
      <c r="N62" s="404" t="s">
        <v>216</v>
      </c>
      <c r="O62" s="404">
        <f t="shared" si="5"/>
        <v>1</v>
      </c>
      <c r="P62" s="404" t="s">
        <v>216</v>
      </c>
      <c r="Q62" s="404">
        <f t="shared" si="6"/>
        <v>1</v>
      </c>
      <c r="R62" s="382"/>
      <c r="S62" s="404"/>
    </row>
    <row r="63" spans="1:19" x14ac:dyDescent="0.25">
      <c r="A63" s="698" t="s">
        <v>691</v>
      </c>
      <c r="B63" s="91" t="s">
        <v>692</v>
      </c>
      <c r="C63" s="404" t="s">
        <v>693</v>
      </c>
      <c r="D63" s="404" t="s">
        <v>464</v>
      </c>
      <c r="E63" s="404"/>
      <c r="F63" s="382" t="s">
        <v>129</v>
      </c>
      <c r="G63" s="404"/>
      <c r="H63" s="521" t="s">
        <v>619</v>
      </c>
      <c r="I63" s="404" t="s">
        <v>693</v>
      </c>
      <c r="J63" s="404" t="s">
        <v>691</v>
      </c>
      <c r="K63" s="404" t="s">
        <v>486</v>
      </c>
      <c r="L63" s="404">
        <f t="shared" si="8"/>
        <v>0</v>
      </c>
      <c r="M63" s="517" t="str">
        <f t="shared" si="3"/>
        <v>Compensation Not Required</v>
      </c>
      <c r="N63" s="404" t="s">
        <v>216</v>
      </c>
      <c r="O63" s="404">
        <f t="shared" si="5"/>
        <v>1</v>
      </c>
      <c r="P63" s="404" t="s">
        <v>216</v>
      </c>
      <c r="Q63" s="404">
        <f t="shared" si="6"/>
        <v>1</v>
      </c>
      <c r="R63" s="382"/>
      <c r="S63" s="404"/>
    </row>
    <row r="64" spans="1:19" x14ac:dyDescent="0.25">
      <c r="A64" s="698" t="s">
        <v>694</v>
      </c>
      <c r="B64" s="91" t="s">
        <v>695</v>
      </c>
      <c r="C64" s="404">
        <v>800</v>
      </c>
      <c r="D64" s="404" t="s">
        <v>464</v>
      </c>
      <c r="E64" s="404"/>
      <c r="F64" s="382" t="s">
        <v>129</v>
      </c>
      <c r="G64" s="404"/>
      <c r="H64" s="521" t="s">
        <v>619</v>
      </c>
      <c r="I64" s="404"/>
      <c r="J64" s="404" t="s">
        <v>694</v>
      </c>
      <c r="K64" s="404" t="s">
        <v>70</v>
      </c>
      <c r="L64" s="404">
        <f t="shared" si="8"/>
        <v>4</v>
      </c>
      <c r="M64" s="517" t="str">
        <f t="shared" si="3"/>
        <v>Same broad habitat or a higher distinctiveness habitat required (≥)</v>
      </c>
      <c r="N64" s="404" t="s">
        <v>70</v>
      </c>
      <c r="O64" s="404">
        <f t="shared" si="5"/>
        <v>0.67</v>
      </c>
      <c r="P64" s="404" t="s">
        <v>216</v>
      </c>
      <c r="Q64" s="404">
        <f t="shared" si="6"/>
        <v>1</v>
      </c>
      <c r="R64" s="382"/>
      <c r="S64" s="404"/>
    </row>
    <row r="65" spans="1:36" x14ac:dyDescent="0.25">
      <c r="A65" s="698" t="s">
        <v>696</v>
      </c>
      <c r="B65" s="91" t="s">
        <v>697</v>
      </c>
      <c r="C65" s="404" t="s">
        <v>698</v>
      </c>
      <c r="D65" s="404" t="s">
        <v>464</v>
      </c>
      <c r="E65" s="404"/>
      <c r="F65" s="382" t="s">
        <v>129</v>
      </c>
      <c r="G65" s="404"/>
      <c r="H65" s="521" t="s">
        <v>619</v>
      </c>
      <c r="I65" s="404" t="s">
        <v>698</v>
      </c>
      <c r="J65" s="404" t="s">
        <v>696</v>
      </c>
      <c r="K65" s="404" t="s">
        <v>486</v>
      </c>
      <c r="L65" s="404">
        <f t="shared" si="8"/>
        <v>0</v>
      </c>
      <c r="M65" s="517" t="str">
        <f t="shared" si="3"/>
        <v>Compensation Not Required</v>
      </c>
      <c r="N65" s="404" t="s">
        <v>216</v>
      </c>
      <c r="O65" s="404">
        <f t="shared" si="5"/>
        <v>1</v>
      </c>
      <c r="P65" s="404" t="s">
        <v>70</v>
      </c>
      <c r="Q65" s="404">
        <f t="shared" si="6"/>
        <v>0.67</v>
      </c>
      <c r="R65" s="382"/>
      <c r="S65" s="404"/>
    </row>
    <row r="66" spans="1:36" x14ac:dyDescent="0.25">
      <c r="A66" s="698" t="s">
        <v>699</v>
      </c>
      <c r="B66" s="91" t="s">
        <v>700</v>
      </c>
      <c r="C66" s="404" t="s">
        <v>701</v>
      </c>
      <c r="D66" s="404" t="s">
        <v>464</v>
      </c>
      <c r="E66" s="404"/>
      <c r="F66" s="382" t="s">
        <v>129</v>
      </c>
      <c r="G66" s="404"/>
      <c r="H66" s="521" t="s">
        <v>619</v>
      </c>
      <c r="I66" s="404"/>
      <c r="J66" s="404"/>
      <c r="K66" s="404" t="s">
        <v>216</v>
      </c>
      <c r="L66" s="404">
        <f t="shared" si="8"/>
        <v>2</v>
      </c>
      <c r="M66" s="517" t="str">
        <f t="shared" si="3"/>
        <v>Same distinctiveness or better habitat required ≥</v>
      </c>
      <c r="N66" s="404" t="s">
        <v>216</v>
      </c>
      <c r="O66" s="404">
        <f t="shared" si="5"/>
        <v>1</v>
      </c>
      <c r="P66" s="404" t="s">
        <v>216</v>
      </c>
      <c r="Q66" s="404">
        <f t="shared" si="6"/>
        <v>1</v>
      </c>
      <c r="R66" s="382"/>
      <c r="S66" s="404"/>
    </row>
    <row r="67" spans="1:36" x14ac:dyDescent="0.25">
      <c r="A67" s="698" t="s">
        <v>702</v>
      </c>
      <c r="B67" s="91" t="s">
        <v>703</v>
      </c>
      <c r="C67" s="404">
        <v>1122</v>
      </c>
      <c r="D67" s="404" t="s">
        <v>464</v>
      </c>
      <c r="E67" s="404"/>
      <c r="F67" s="382" t="s">
        <v>129</v>
      </c>
      <c r="G67" s="404"/>
      <c r="H67" s="521" t="s">
        <v>619</v>
      </c>
      <c r="I67" s="404"/>
      <c r="J67" s="404" t="s">
        <v>704</v>
      </c>
      <c r="K67" s="404" t="s">
        <v>216</v>
      </c>
      <c r="L67" s="404">
        <f t="shared" si="8"/>
        <v>2</v>
      </c>
      <c r="M67" s="517" t="str">
        <f t="shared" si="3"/>
        <v>Same distinctiveness or better habitat required ≥</v>
      </c>
      <c r="N67" s="404" t="s">
        <v>70</v>
      </c>
      <c r="O67" s="404">
        <f t="shared" ref="O67:O96" si="9">VLOOKUP(N67,Difficulty,2,FALSE)</f>
        <v>0.67</v>
      </c>
      <c r="P67" s="404" t="s">
        <v>70</v>
      </c>
      <c r="Q67" s="404">
        <f t="shared" ref="Q67:Q96" si="10">VLOOKUP(P67,Difficulty,2,FALSE)</f>
        <v>0.67</v>
      </c>
      <c r="R67" s="382"/>
      <c r="S67" s="404"/>
    </row>
    <row r="68" spans="1:36" x14ac:dyDescent="0.25">
      <c r="A68" s="698" t="s">
        <v>705</v>
      </c>
      <c r="B68" s="91" t="s">
        <v>706</v>
      </c>
      <c r="C68" s="404">
        <v>1121</v>
      </c>
      <c r="D68" s="404" t="s">
        <v>464</v>
      </c>
      <c r="E68" s="404"/>
      <c r="F68" s="382" t="s">
        <v>129</v>
      </c>
      <c r="G68" s="404"/>
      <c r="H68" s="521" t="s">
        <v>619</v>
      </c>
      <c r="I68" s="404"/>
      <c r="J68" s="404" t="s">
        <v>705</v>
      </c>
      <c r="K68" s="404" t="s">
        <v>216</v>
      </c>
      <c r="L68" s="404">
        <f t="shared" si="8"/>
        <v>2</v>
      </c>
      <c r="M68" s="517" t="str">
        <f t="shared" si="3"/>
        <v>Same distinctiveness or better habitat required ≥</v>
      </c>
      <c r="N68" s="404" t="s">
        <v>70</v>
      </c>
      <c r="O68" s="404">
        <f t="shared" si="9"/>
        <v>0.67</v>
      </c>
      <c r="P68" s="404" t="s">
        <v>70</v>
      </c>
      <c r="Q68" s="404">
        <f t="shared" si="10"/>
        <v>0.67</v>
      </c>
      <c r="R68" s="382"/>
      <c r="S68" s="404"/>
    </row>
    <row r="69" spans="1:36" x14ac:dyDescent="0.25">
      <c r="A69" s="698" t="s">
        <v>707</v>
      </c>
      <c r="B69" s="91" t="s">
        <v>708</v>
      </c>
      <c r="C69" s="404">
        <v>1140</v>
      </c>
      <c r="D69" s="404" t="s">
        <v>464</v>
      </c>
      <c r="E69" s="404"/>
      <c r="F69" s="382" t="s">
        <v>129</v>
      </c>
      <c r="G69" s="404"/>
      <c r="H69" s="521" t="s">
        <v>619</v>
      </c>
      <c r="I69" s="404"/>
      <c r="J69" s="404" t="s">
        <v>707</v>
      </c>
      <c r="K69" s="404" t="s">
        <v>216</v>
      </c>
      <c r="L69" s="404">
        <f t="shared" si="8"/>
        <v>2</v>
      </c>
      <c r="M69" s="517" t="str">
        <f t="shared" si="3"/>
        <v>Same distinctiveness or better habitat required ≥</v>
      </c>
      <c r="N69" s="404" t="s">
        <v>216</v>
      </c>
      <c r="O69" s="404">
        <f t="shared" si="9"/>
        <v>1</v>
      </c>
      <c r="P69" s="404" t="s">
        <v>216</v>
      </c>
      <c r="Q69" s="404">
        <f t="shared" si="10"/>
        <v>1</v>
      </c>
      <c r="R69" s="382"/>
      <c r="S69" s="404"/>
    </row>
    <row r="70" spans="1:36" x14ac:dyDescent="0.25">
      <c r="A70" s="698" t="s">
        <v>709</v>
      </c>
      <c r="B70" s="91" t="s">
        <v>710</v>
      </c>
      <c r="C70" s="404" t="s">
        <v>711</v>
      </c>
      <c r="D70" s="404" t="s">
        <v>464</v>
      </c>
      <c r="E70" s="404"/>
      <c r="F70" s="382" t="s">
        <v>129</v>
      </c>
      <c r="G70" s="404"/>
      <c r="H70" s="521" t="s">
        <v>619</v>
      </c>
      <c r="I70" s="404"/>
      <c r="J70" s="404" t="s">
        <v>688</v>
      </c>
      <c r="K70" s="404" t="s">
        <v>70</v>
      </c>
      <c r="L70" s="404">
        <f t="shared" si="8"/>
        <v>4</v>
      </c>
      <c r="M70" s="517" t="str">
        <f t="shared" si="3"/>
        <v>Same broad habitat or a higher distinctiveness habitat required (≥)</v>
      </c>
      <c r="N70" s="404" t="s">
        <v>70</v>
      </c>
      <c r="O70" s="404">
        <f t="shared" si="9"/>
        <v>0.67</v>
      </c>
      <c r="P70" s="404" t="s">
        <v>70</v>
      </c>
      <c r="Q70" s="404">
        <f t="shared" si="10"/>
        <v>0.67</v>
      </c>
      <c r="R70" s="382"/>
      <c r="S70" s="404"/>
    </row>
    <row r="71" spans="1:36" x14ac:dyDescent="0.25">
      <c r="A71" s="698" t="s">
        <v>712</v>
      </c>
      <c r="B71" s="91" t="s">
        <v>713</v>
      </c>
      <c r="C71" s="404">
        <v>1160</v>
      </c>
      <c r="D71" s="404" t="s">
        <v>464</v>
      </c>
      <c r="E71" s="404"/>
      <c r="F71" s="382" t="s">
        <v>129</v>
      </c>
      <c r="G71" s="404"/>
      <c r="H71" s="521" t="s">
        <v>619</v>
      </c>
      <c r="I71" s="404"/>
      <c r="J71" s="404" t="s">
        <v>712</v>
      </c>
      <c r="K71" s="404" t="s">
        <v>216</v>
      </c>
      <c r="L71" s="404">
        <f t="shared" si="8"/>
        <v>2</v>
      </c>
      <c r="M71" s="517" t="str">
        <f t="shared" si="3"/>
        <v>Same distinctiveness or better habitat required ≥</v>
      </c>
      <c r="N71" s="404" t="s">
        <v>216</v>
      </c>
      <c r="O71" s="404">
        <f t="shared" si="9"/>
        <v>1</v>
      </c>
      <c r="P71" s="404" t="s">
        <v>216</v>
      </c>
      <c r="Q71" s="404">
        <f t="shared" si="10"/>
        <v>1</v>
      </c>
      <c r="R71" s="382"/>
      <c r="S71" s="404"/>
    </row>
    <row r="72" spans="1:36" ht="27.6" x14ac:dyDescent="0.25">
      <c r="A72" s="698" t="s">
        <v>714</v>
      </c>
      <c r="B72" s="91" t="s">
        <v>715</v>
      </c>
      <c r="C72" s="404" t="s">
        <v>716</v>
      </c>
      <c r="D72" s="404" t="s">
        <v>464</v>
      </c>
      <c r="E72" s="404" t="s">
        <v>717</v>
      </c>
      <c r="F72" s="382" t="s">
        <v>129</v>
      </c>
      <c r="G72" s="404" t="s">
        <v>718</v>
      </c>
      <c r="H72" s="521" t="s">
        <v>619</v>
      </c>
      <c r="I72" s="404" t="s">
        <v>716</v>
      </c>
      <c r="J72" s="429" t="s">
        <v>719</v>
      </c>
      <c r="K72" s="404" t="s">
        <v>213</v>
      </c>
      <c r="L72" s="404">
        <f t="shared" si="8"/>
        <v>6</v>
      </c>
      <c r="M72" s="517" t="str">
        <f t="shared" si="3"/>
        <v>Same habitat required =</v>
      </c>
      <c r="N72" s="404" t="s">
        <v>70</v>
      </c>
      <c r="O72" s="404">
        <f t="shared" si="9"/>
        <v>0.67</v>
      </c>
      <c r="P72" s="404" t="s">
        <v>70</v>
      </c>
      <c r="Q72" s="404">
        <f t="shared" si="10"/>
        <v>0.67</v>
      </c>
      <c r="R72" s="382"/>
      <c r="S72" s="404"/>
    </row>
    <row r="73" spans="1:36" x14ac:dyDescent="0.25">
      <c r="A73" s="698" t="s">
        <v>720</v>
      </c>
      <c r="B73" s="91" t="s">
        <v>721</v>
      </c>
      <c r="C73" s="404">
        <v>1192</v>
      </c>
      <c r="D73" s="404" t="s">
        <v>464</v>
      </c>
      <c r="E73" s="404"/>
      <c r="F73" s="382" t="s">
        <v>129</v>
      </c>
      <c r="G73" s="404"/>
      <c r="H73" s="521" t="s">
        <v>619</v>
      </c>
      <c r="I73" s="404"/>
      <c r="J73" s="404" t="s">
        <v>720</v>
      </c>
      <c r="K73" s="404" t="s">
        <v>216</v>
      </c>
      <c r="L73" s="404">
        <f t="shared" si="8"/>
        <v>2</v>
      </c>
      <c r="M73" s="517" t="str">
        <f t="shared" si="3"/>
        <v>Same distinctiveness or better habitat required ≥</v>
      </c>
      <c r="N73" s="404" t="s">
        <v>216</v>
      </c>
      <c r="O73" s="404">
        <f t="shared" si="9"/>
        <v>1</v>
      </c>
      <c r="P73" s="404" t="s">
        <v>216</v>
      </c>
      <c r="Q73" s="404">
        <f t="shared" si="10"/>
        <v>1</v>
      </c>
      <c r="R73" s="382"/>
      <c r="S73" s="404"/>
    </row>
    <row r="74" spans="1:36" ht="27.6" x14ac:dyDescent="0.25">
      <c r="A74" s="698" t="s">
        <v>722</v>
      </c>
      <c r="B74" s="91" t="s">
        <v>723</v>
      </c>
      <c r="C74" s="404">
        <v>1030</v>
      </c>
      <c r="D74" s="404" t="s">
        <v>464</v>
      </c>
      <c r="E74" s="404"/>
      <c r="F74" s="382" t="s">
        <v>129</v>
      </c>
      <c r="G74" s="404"/>
      <c r="H74" s="521" t="s">
        <v>619</v>
      </c>
      <c r="I74" s="404"/>
      <c r="J74" s="404" t="s">
        <v>724</v>
      </c>
      <c r="K74" s="404" t="s">
        <v>216</v>
      </c>
      <c r="L74" s="404">
        <f t="shared" si="8"/>
        <v>2</v>
      </c>
      <c r="M74" s="517" t="str">
        <f t="shared" ref="M74:M130" si="11">IF($K74=$V$3,$X$3,IF($K74=$V$4,$X$4,IF($K74=$V$5,$X$5,IF($K74=$V$6,$X$6,IF($K74=$V$7,$X$7)))))</f>
        <v>Same distinctiveness or better habitat required ≥</v>
      </c>
      <c r="N74" s="404" t="s">
        <v>70</v>
      </c>
      <c r="O74" s="404">
        <f t="shared" si="9"/>
        <v>0.67</v>
      </c>
      <c r="P74" s="404" t="s">
        <v>70</v>
      </c>
      <c r="Q74" s="404">
        <f t="shared" si="10"/>
        <v>0.67</v>
      </c>
      <c r="R74" s="382"/>
      <c r="S74" s="404"/>
    </row>
    <row r="75" spans="1:36" x14ac:dyDescent="0.25">
      <c r="A75" s="698" t="s">
        <v>725</v>
      </c>
      <c r="B75" s="91" t="s">
        <v>726</v>
      </c>
      <c r="C75" s="404">
        <v>1190</v>
      </c>
      <c r="D75" s="404" t="s">
        <v>464</v>
      </c>
      <c r="E75" s="404"/>
      <c r="F75" s="382" t="s">
        <v>129</v>
      </c>
      <c r="G75" s="404"/>
      <c r="H75" s="521" t="s">
        <v>619</v>
      </c>
      <c r="I75" s="404"/>
      <c r="J75" s="404" t="s">
        <v>727</v>
      </c>
      <c r="K75" s="404" t="s">
        <v>216</v>
      </c>
      <c r="L75" s="404">
        <f t="shared" si="8"/>
        <v>2</v>
      </c>
      <c r="M75" s="517" t="str">
        <f t="shared" si="11"/>
        <v>Same distinctiveness or better habitat required ≥</v>
      </c>
      <c r="N75" s="404" t="s">
        <v>70</v>
      </c>
      <c r="O75" s="404">
        <f t="shared" si="9"/>
        <v>0.67</v>
      </c>
      <c r="P75" s="404" t="s">
        <v>70</v>
      </c>
      <c r="Q75" s="404">
        <f t="shared" si="10"/>
        <v>0.67</v>
      </c>
      <c r="R75" s="382"/>
      <c r="S75" s="404"/>
    </row>
    <row r="76" spans="1:36" x14ac:dyDescent="0.25">
      <c r="A76" s="698" t="s">
        <v>728</v>
      </c>
      <c r="B76" s="91" t="s">
        <v>729</v>
      </c>
      <c r="C76" s="404">
        <v>232</v>
      </c>
      <c r="D76" s="404" t="s">
        <v>464</v>
      </c>
      <c r="E76" s="404"/>
      <c r="F76" s="382" t="s">
        <v>129</v>
      </c>
      <c r="G76" s="404"/>
      <c r="H76" s="521" t="s">
        <v>619</v>
      </c>
      <c r="I76" s="404"/>
      <c r="J76" s="404" t="s">
        <v>730</v>
      </c>
      <c r="K76" s="404" t="s">
        <v>486</v>
      </c>
      <c r="L76" s="404">
        <f t="shared" si="8"/>
        <v>0</v>
      </c>
      <c r="M76" s="517" t="str">
        <f t="shared" si="11"/>
        <v>Compensation Not Required</v>
      </c>
      <c r="N76" s="404" t="s">
        <v>216</v>
      </c>
      <c r="O76" s="404">
        <f t="shared" si="9"/>
        <v>1</v>
      </c>
      <c r="P76" s="404" t="s">
        <v>216</v>
      </c>
      <c r="Q76" s="404">
        <f t="shared" si="10"/>
        <v>1</v>
      </c>
      <c r="R76" s="382"/>
      <c r="S76" s="404"/>
    </row>
    <row r="77" spans="1:36" ht="27.6" x14ac:dyDescent="0.25">
      <c r="A77" s="698" t="s">
        <v>731</v>
      </c>
      <c r="B77" s="91" t="s">
        <v>732</v>
      </c>
      <c r="C77" s="404">
        <v>350</v>
      </c>
      <c r="D77" s="404" t="s">
        <v>464</v>
      </c>
      <c r="E77" s="404"/>
      <c r="F77" s="382" t="s">
        <v>129</v>
      </c>
      <c r="G77" s="404"/>
      <c r="H77" s="521" t="s">
        <v>619</v>
      </c>
      <c r="I77" s="404"/>
      <c r="J77" s="404" t="s">
        <v>731</v>
      </c>
      <c r="K77" s="404" t="s">
        <v>216</v>
      </c>
      <c r="L77" s="404">
        <f t="shared" si="8"/>
        <v>2</v>
      </c>
      <c r="M77" s="517" t="str">
        <f t="shared" si="11"/>
        <v>Same distinctiveness or better habitat required ≥</v>
      </c>
      <c r="N77" s="404" t="s">
        <v>216</v>
      </c>
      <c r="O77" s="404">
        <f t="shared" si="9"/>
        <v>1</v>
      </c>
      <c r="P77" s="404" t="s">
        <v>216</v>
      </c>
      <c r="Q77" s="404">
        <f t="shared" si="10"/>
        <v>1</v>
      </c>
      <c r="R77" s="382" t="s">
        <v>733</v>
      </c>
      <c r="S77" s="404"/>
    </row>
    <row r="78" spans="1:36" ht="27.6" x14ac:dyDescent="0.25">
      <c r="A78" s="698" t="s">
        <v>734</v>
      </c>
      <c r="B78" s="558" t="s">
        <v>735</v>
      </c>
      <c r="C78" s="559" t="s">
        <v>736</v>
      </c>
      <c r="D78" s="559" t="s">
        <v>464</v>
      </c>
      <c r="E78" s="559"/>
      <c r="F78" s="395" t="s">
        <v>129</v>
      </c>
      <c r="G78" s="559"/>
      <c r="H78" s="560" t="s">
        <v>619</v>
      </c>
      <c r="I78" s="559"/>
      <c r="J78" s="559" t="s">
        <v>734</v>
      </c>
      <c r="K78" s="559" t="s">
        <v>216</v>
      </c>
      <c r="L78" s="559">
        <f t="shared" si="8"/>
        <v>2</v>
      </c>
      <c r="M78" s="561" t="str">
        <f t="shared" si="11"/>
        <v>Same distinctiveness or better habitat required ≥</v>
      </c>
      <c r="N78" s="559" t="s">
        <v>216</v>
      </c>
      <c r="O78" s="559">
        <v>1</v>
      </c>
      <c r="P78" s="559" t="s">
        <v>216</v>
      </c>
      <c r="Q78" s="559">
        <v>1</v>
      </c>
      <c r="R78" s="382" t="s">
        <v>733</v>
      </c>
      <c r="S78" s="559"/>
    </row>
    <row r="79" spans="1:36" ht="14.4" thickBot="1" x14ac:dyDescent="0.3">
      <c r="A79" s="699" t="s">
        <v>737</v>
      </c>
      <c r="B79" s="558" t="s">
        <v>738</v>
      </c>
      <c r="C79" s="559">
        <v>231</v>
      </c>
      <c r="D79" s="559" t="s">
        <v>464</v>
      </c>
      <c r="E79" s="559"/>
      <c r="F79" s="395" t="s">
        <v>129</v>
      </c>
      <c r="G79" s="559"/>
      <c r="H79" s="560" t="s">
        <v>619</v>
      </c>
      <c r="I79" s="559"/>
      <c r="J79" s="559" t="s">
        <v>737</v>
      </c>
      <c r="K79" s="559" t="s">
        <v>216</v>
      </c>
      <c r="L79" s="559">
        <f t="shared" ref="L79:L102" si="12">IF(K79=$V$3,$W$3,IF(K79=$V$3,$W$3,IF(K79=$V$4,$W$4,IF(K79=$V$5,$W$5,IF(K79=$V$6,$W$6,IF(K79=$V$7,$W$7))))))</f>
        <v>2</v>
      </c>
      <c r="M79" s="561" t="str">
        <f t="shared" si="11"/>
        <v>Same distinctiveness or better habitat required ≥</v>
      </c>
      <c r="N79" s="559" t="s">
        <v>216</v>
      </c>
      <c r="O79" s="559">
        <f t="shared" si="9"/>
        <v>1</v>
      </c>
      <c r="P79" s="559" t="s">
        <v>216</v>
      </c>
      <c r="Q79" s="559">
        <f t="shared" si="10"/>
        <v>1</v>
      </c>
      <c r="R79" s="395"/>
      <c r="S79" s="559"/>
    </row>
    <row r="80" spans="1:36" s="124" customFormat="1" x14ac:dyDescent="0.25">
      <c r="A80" s="698" t="s">
        <v>739</v>
      </c>
      <c r="B80" s="590" t="s">
        <v>740</v>
      </c>
      <c r="C80" s="404" t="s">
        <v>741</v>
      </c>
      <c r="D80" s="404" t="s">
        <v>464</v>
      </c>
      <c r="E80" s="404"/>
      <c r="F80" s="382" t="s">
        <v>138</v>
      </c>
      <c r="G80" s="404"/>
      <c r="H80" s="521" t="s">
        <v>619</v>
      </c>
      <c r="I80" s="404"/>
      <c r="J80" s="404" t="s">
        <v>742</v>
      </c>
      <c r="K80" s="404" t="s">
        <v>70</v>
      </c>
      <c r="L80" s="404">
        <f>IF(K80=$V$3,$W$3,IF(K80=$V$3,$W$3,IF(K80=$V$4,$W$4,IF(K80=$V$5,$W$5,IF(K80=$V$6,$W$6,IF(K80=$V$7,$W$7))))))</f>
        <v>4</v>
      </c>
      <c r="M80" s="517" t="str">
        <f>IF($K80=$V$3,$X$3,IF($K80=$V$4,$X$4,IF($K80=$V$5,$X$5,IF($K80=$V$6,$X$6,IF($K80=$V$7,$X$7)))))</f>
        <v>Same broad habitat or a higher distinctiveness habitat required (≥)</v>
      </c>
      <c r="N80" s="404" t="s">
        <v>216</v>
      </c>
      <c r="O80" s="404">
        <f>VLOOKUP(N80,Difficulty,2,FALSE)</f>
        <v>1</v>
      </c>
      <c r="P80" s="404" t="s">
        <v>216</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4.4" thickBot="1" x14ac:dyDescent="0.3">
      <c r="A81" s="201" t="s">
        <v>743</v>
      </c>
      <c r="B81" s="181" t="s">
        <v>744</v>
      </c>
      <c r="C81" s="404" t="s">
        <v>745</v>
      </c>
      <c r="D81" s="404" t="s">
        <v>464</v>
      </c>
      <c r="E81" s="404"/>
      <c r="F81" s="382" t="s">
        <v>138</v>
      </c>
      <c r="G81" s="404"/>
      <c r="H81" s="404"/>
      <c r="I81" s="404"/>
      <c r="J81" s="404"/>
      <c r="K81" s="404" t="s">
        <v>70</v>
      </c>
      <c r="L81" s="404">
        <f>IF(K81=$V$3,$W$3,IF(K81=$V$3,$W$3,IF(K81=$V$4,$W$4,IF(K81=$V$5,$W$5,IF(K81=$V$6,$W$6,IF(K81=$V$7,$W$7))))))</f>
        <v>4</v>
      </c>
      <c r="M81" s="517" t="str">
        <f>IF($K81=$V$3,$X$3,IF($K81=$V$4,$X$4,IF($K81=$V$5,$X$5,IF($K81=$V$6,$X$6,IF($K81=$V$7,$X$7)))))</f>
        <v>Same broad habitat or a higher distinctiveness habitat required (≥)</v>
      </c>
      <c r="N81" s="404" t="s">
        <v>216</v>
      </c>
      <c r="O81" s="404">
        <f>VLOOKUP(N81,Difficulty,2,FALSE)</f>
        <v>1</v>
      </c>
      <c r="P81" s="404" t="s">
        <v>216</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x14ac:dyDescent="0.25">
      <c r="A82" s="700" t="s">
        <v>746</v>
      </c>
      <c r="B82" s="179" t="s">
        <v>747</v>
      </c>
      <c r="C82" s="383" t="s">
        <v>748</v>
      </c>
      <c r="D82" s="383" t="s">
        <v>464</v>
      </c>
      <c r="E82" s="383"/>
      <c r="F82" s="370" t="s">
        <v>130</v>
      </c>
      <c r="G82" s="383"/>
      <c r="H82" s="523" t="s">
        <v>749</v>
      </c>
      <c r="I82" s="383" t="s">
        <v>748</v>
      </c>
      <c r="J82" s="432" t="s">
        <v>746</v>
      </c>
      <c r="K82" s="383" t="s">
        <v>467</v>
      </c>
      <c r="L82" s="383">
        <f t="shared" si="12"/>
        <v>8</v>
      </c>
      <c r="M82" s="519" t="str">
        <f t="shared" si="11"/>
        <v>Bespoke compensation likely to be required 🛠</v>
      </c>
      <c r="N82" s="383" t="s">
        <v>211</v>
      </c>
      <c r="O82" s="383">
        <f t="shared" si="9"/>
        <v>0.1</v>
      </c>
      <c r="P82" s="383" t="s">
        <v>213</v>
      </c>
      <c r="Q82" s="383">
        <f t="shared" si="10"/>
        <v>0.33</v>
      </c>
      <c r="R82" s="370"/>
      <c r="S82" s="383"/>
    </row>
    <row r="83" spans="1:36" ht="27.6" x14ac:dyDescent="0.25">
      <c r="A83" s="698" t="s">
        <v>750</v>
      </c>
      <c r="B83" s="91" t="s">
        <v>751</v>
      </c>
      <c r="C83" s="404">
        <v>24</v>
      </c>
      <c r="D83" s="404" t="s">
        <v>464</v>
      </c>
      <c r="E83" s="404" t="s">
        <v>752</v>
      </c>
      <c r="F83" s="382" t="s">
        <v>130</v>
      </c>
      <c r="G83" s="404" t="s">
        <v>753</v>
      </c>
      <c r="H83" s="521" t="s">
        <v>749</v>
      </c>
      <c r="I83" s="404"/>
      <c r="J83" s="433" t="s">
        <v>754</v>
      </c>
      <c r="K83" s="404" t="s">
        <v>467</v>
      </c>
      <c r="L83" s="404">
        <f t="shared" si="12"/>
        <v>8</v>
      </c>
      <c r="M83" s="517" t="str">
        <f t="shared" si="11"/>
        <v>Bespoke compensation likely to be required 🛠</v>
      </c>
      <c r="N83" s="404" t="s">
        <v>211</v>
      </c>
      <c r="O83" s="404">
        <f t="shared" si="9"/>
        <v>0.1</v>
      </c>
      <c r="P83" s="404" t="s">
        <v>213</v>
      </c>
      <c r="Q83" s="404">
        <f t="shared" si="10"/>
        <v>0.33</v>
      </c>
      <c r="R83" s="382"/>
      <c r="S83" s="404"/>
    </row>
    <row r="84" spans="1:36" x14ac:dyDescent="0.25">
      <c r="A84" s="698" t="s">
        <v>755</v>
      </c>
      <c r="B84" s="91" t="s">
        <v>756</v>
      </c>
      <c r="C84" s="404" t="s">
        <v>757</v>
      </c>
      <c r="D84" s="404" t="s">
        <v>464</v>
      </c>
      <c r="E84" s="404"/>
      <c r="F84" s="382" t="s">
        <v>130</v>
      </c>
      <c r="G84" s="404" t="s">
        <v>758</v>
      </c>
      <c r="H84" s="521" t="s">
        <v>759</v>
      </c>
      <c r="I84" s="404" t="s">
        <v>757</v>
      </c>
      <c r="J84" s="429" t="s">
        <v>760</v>
      </c>
      <c r="K84" s="404" t="s">
        <v>467</v>
      </c>
      <c r="L84" s="404">
        <f t="shared" si="12"/>
        <v>8</v>
      </c>
      <c r="M84" s="517" t="str">
        <f t="shared" si="11"/>
        <v>Bespoke compensation likely to be required 🛠</v>
      </c>
      <c r="N84" s="404" t="s">
        <v>213</v>
      </c>
      <c r="O84" s="404">
        <f t="shared" si="9"/>
        <v>0.33</v>
      </c>
      <c r="P84" s="404" t="s">
        <v>213</v>
      </c>
      <c r="Q84" s="404">
        <f t="shared" si="10"/>
        <v>0.33</v>
      </c>
      <c r="R84" s="382"/>
      <c r="S84" s="404"/>
    </row>
    <row r="85" spans="1:36" x14ac:dyDescent="0.25">
      <c r="A85" s="698" t="s">
        <v>761</v>
      </c>
      <c r="B85" s="91" t="s">
        <v>762</v>
      </c>
      <c r="C85" s="404" t="s">
        <v>763</v>
      </c>
      <c r="D85" s="404" t="s">
        <v>464</v>
      </c>
      <c r="E85" s="404"/>
      <c r="F85" s="382" t="s">
        <v>130</v>
      </c>
      <c r="G85" s="404"/>
      <c r="H85" s="521" t="s">
        <v>749</v>
      </c>
      <c r="I85" s="404" t="s">
        <v>763</v>
      </c>
      <c r="J85" s="429" t="s">
        <v>761</v>
      </c>
      <c r="K85" s="404" t="s">
        <v>467</v>
      </c>
      <c r="L85" s="404">
        <f t="shared" si="12"/>
        <v>8</v>
      </c>
      <c r="M85" s="517" t="str">
        <f t="shared" si="11"/>
        <v>Bespoke compensation likely to be required 🛠</v>
      </c>
      <c r="N85" s="404" t="s">
        <v>211</v>
      </c>
      <c r="O85" s="404">
        <f t="shared" si="9"/>
        <v>0.1</v>
      </c>
      <c r="P85" s="404" t="s">
        <v>213</v>
      </c>
      <c r="Q85" s="404">
        <f t="shared" si="10"/>
        <v>0.33</v>
      </c>
      <c r="R85" s="382"/>
      <c r="S85" s="404"/>
    </row>
    <row r="86" spans="1:36" x14ac:dyDescent="0.25">
      <c r="A86" s="698" t="s">
        <v>764</v>
      </c>
      <c r="B86" s="91" t="s">
        <v>765</v>
      </c>
      <c r="C86" s="404" t="s">
        <v>766</v>
      </c>
      <c r="D86" s="404" t="s">
        <v>464</v>
      </c>
      <c r="E86" s="404"/>
      <c r="F86" s="382" t="s">
        <v>130</v>
      </c>
      <c r="G86" s="404"/>
      <c r="H86" s="521" t="s">
        <v>759</v>
      </c>
      <c r="I86" s="404" t="s">
        <v>767</v>
      </c>
      <c r="J86" s="404" t="s">
        <v>768</v>
      </c>
      <c r="K86" s="404" t="s">
        <v>467</v>
      </c>
      <c r="L86" s="404">
        <f t="shared" si="12"/>
        <v>8</v>
      </c>
      <c r="M86" s="517" t="str">
        <f t="shared" si="11"/>
        <v>Bespoke compensation likely to be required 🛠</v>
      </c>
      <c r="N86" s="404" t="s">
        <v>211</v>
      </c>
      <c r="O86" s="404">
        <f t="shared" si="9"/>
        <v>0.1</v>
      </c>
      <c r="P86" s="404" t="s">
        <v>213</v>
      </c>
      <c r="Q86" s="404">
        <f t="shared" si="10"/>
        <v>0.33</v>
      </c>
      <c r="R86" s="382"/>
      <c r="S86" s="404"/>
    </row>
    <row r="87" spans="1:36" ht="27.6" x14ac:dyDescent="0.25">
      <c r="A87" s="698" t="s">
        <v>769</v>
      </c>
      <c r="B87" s="91" t="s">
        <v>770</v>
      </c>
      <c r="C87" s="404" t="s">
        <v>771</v>
      </c>
      <c r="D87" s="404" t="s">
        <v>464</v>
      </c>
      <c r="E87" s="404"/>
      <c r="F87" s="382" t="s">
        <v>130</v>
      </c>
      <c r="G87" s="404"/>
      <c r="H87" s="521" t="s">
        <v>759</v>
      </c>
      <c r="I87" s="404" t="s">
        <v>771</v>
      </c>
      <c r="J87" s="429" t="s">
        <v>769</v>
      </c>
      <c r="K87" s="404" t="s">
        <v>467</v>
      </c>
      <c r="L87" s="404">
        <f t="shared" si="12"/>
        <v>8</v>
      </c>
      <c r="M87" s="517" t="str">
        <f t="shared" si="11"/>
        <v>Bespoke compensation likely to be required 🛠</v>
      </c>
      <c r="N87" s="404" t="s">
        <v>213</v>
      </c>
      <c r="O87" s="404">
        <f t="shared" si="9"/>
        <v>0.33</v>
      </c>
      <c r="P87" s="404" t="s">
        <v>213</v>
      </c>
      <c r="Q87" s="404">
        <f t="shared" si="10"/>
        <v>0.33</v>
      </c>
      <c r="R87" s="382"/>
      <c r="S87" s="404"/>
    </row>
    <row r="88" spans="1:36" x14ac:dyDescent="0.25">
      <c r="A88" s="698" t="s">
        <v>772</v>
      </c>
      <c r="B88" s="91" t="s">
        <v>773</v>
      </c>
      <c r="C88" s="404" t="s">
        <v>774</v>
      </c>
      <c r="D88" s="404" t="s">
        <v>464</v>
      </c>
      <c r="E88" s="404"/>
      <c r="F88" s="382" t="s">
        <v>130</v>
      </c>
      <c r="G88" s="404"/>
      <c r="H88" s="521" t="s">
        <v>759</v>
      </c>
      <c r="I88" s="404" t="s">
        <v>774</v>
      </c>
      <c r="J88" s="429" t="s">
        <v>772</v>
      </c>
      <c r="K88" s="404" t="s">
        <v>213</v>
      </c>
      <c r="L88" s="404">
        <f t="shared" si="12"/>
        <v>6</v>
      </c>
      <c r="M88" s="517" t="str">
        <f t="shared" si="11"/>
        <v>Same habitat required =</v>
      </c>
      <c r="N88" s="404" t="s">
        <v>70</v>
      </c>
      <c r="O88" s="404">
        <f t="shared" si="9"/>
        <v>0.67</v>
      </c>
      <c r="P88" s="404" t="s">
        <v>70</v>
      </c>
      <c r="Q88" s="404">
        <f t="shared" si="10"/>
        <v>0.67</v>
      </c>
      <c r="R88" s="382"/>
      <c r="S88" s="404"/>
    </row>
    <row r="89" spans="1:36" ht="28.2" thickBot="1" x14ac:dyDescent="0.3">
      <c r="A89" s="698" t="s">
        <v>775</v>
      </c>
      <c r="B89" s="178" t="s">
        <v>776</v>
      </c>
      <c r="C89" s="388" t="s">
        <v>777</v>
      </c>
      <c r="D89" s="388" t="s">
        <v>464</v>
      </c>
      <c r="E89" s="388"/>
      <c r="F89" s="371" t="s">
        <v>130</v>
      </c>
      <c r="G89" s="388"/>
      <c r="H89" s="522" t="s">
        <v>759</v>
      </c>
      <c r="I89" s="388"/>
      <c r="J89" s="434" t="s">
        <v>776</v>
      </c>
      <c r="K89" s="388" t="s">
        <v>467</v>
      </c>
      <c r="L89" s="388">
        <f t="shared" si="12"/>
        <v>8</v>
      </c>
      <c r="M89" s="518" t="str">
        <f t="shared" si="11"/>
        <v>Bespoke compensation likely to be required 🛠</v>
      </c>
      <c r="N89" s="388" t="s">
        <v>211</v>
      </c>
      <c r="O89" s="388">
        <f t="shared" si="9"/>
        <v>0.1</v>
      </c>
      <c r="P89" s="388" t="s">
        <v>213</v>
      </c>
      <c r="Q89" s="388">
        <f t="shared" si="10"/>
        <v>0.33</v>
      </c>
      <c r="R89" s="371"/>
      <c r="S89" s="388"/>
    </row>
    <row r="90" spans="1:36" x14ac:dyDescent="0.25">
      <c r="A90" s="698" t="s">
        <v>778</v>
      </c>
      <c r="B90" s="179" t="s">
        <v>779</v>
      </c>
      <c r="C90" s="383">
        <v>53</v>
      </c>
      <c r="D90" s="383" t="s">
        <v>464</v>
      </c>
      <c r="E90" s="383"/>
      <c r="F90" s="370" t="s">
        <v>131</v>
      </c>
      <c r="G90" s="383"/>
      <c r="H90" s="523" t="s">
        <v>780</v>
      </c>
      <c r="I90" s="383"/>
      <c r="J90" s="383" t="s">
        <v>778</v>
      </c>
      <c r="K90" s="383" t="s">
        <v>213</v>
      </c>
      <c r="L90" s="383">
        <f t="shared" si="12"/>
        <v>6</v>
      </c>
      <c r="M90" s="519" t="str">
        <f t="shared" si="11"/>
        <v>Same habitat required =</v>
      </c>
      <c r="N90" s="383" t="s">
        <v>213</v>
      </c>
      <c r="O90" s="383">
        <f t="shared" si="9"/>
        <v>0.33</v>
      </c>
      <c r="P90" s="383" t="s">
        <v>216</v>
      </c>
      <c r="Q90" s="383">
        <f t="shared" si="10"/>
        <v>1</v>
      </c>
      <c r="R90" s="370"/>
      <c r="S90" s="383"/>
    </row>
    <row r="91" spans="1:36" ht="27.6" x14ac:dyDescent="0.25">
      <c r="A91" s="698" t="s">
        <v>781</v>
      </c>
      <c r="B91" s="91" t="s">
        <v>782</v>
      </c>
      <c r="C91" s="404" t="s">
        <v>783</v>
      </c>
      <c r="D91" s="404" t="s">
        <v>464</v>
      </c>
      <c r="E91" s="404"/>
      <c r="F91" s="382" t="s">
        <v>131</v>
      </c>
      <c r="G91" s="404"/>
      <c r="H91" s="521" t="s">
        <v>784</v>
      </c>
      <c r="I91" s="404" t="s">
        <v>783</v>
      </c>
      <c r="J91" s="429" t="s">
        <v>781</v>
      </c>
      <c r="K91" s="404" t="s">
        <v>213</v>
      </c>
      <c r="L91" s="404">
        <f t="shared" si="12"/>
        <v>6</v>
      </c>
      <c r="M91" s="517" t="str">
        <f t="shared" si="11"/>
        <v>Same habitat required =</v>
      </c>
      <c r="N91" s="404" t="s">
        <v>213</v>
      </c>
      <c r="O91" s="404">
        <f t="shared" si="9"/>
        <v>0.33</v>
      </c>
      <c r="P91" s="404" t="s">
        <v>213</v>
      </c>
      <c r="Q91" s="404">
        <f t="shared" si="10"/>
        <v>0.33</v>
      </c>
      <c r="R91" s="382"/>
      <c r="S91" s="404"/>
    </row>
    <row r="92" spans="1:36" ht="27.6" x14ac:dyDescent="0.25">
      <c r="A92" s="698" t="s">
        <v>785</v>
      </c>
      <c r="B92" s="91" t="s">
        <v>786</v>
      </c>
      <c r="C92" s="404" t="s">
        <v>787</v>
      </c>
      <c r="D92" s="404" t="s">
        <v>464</v>
      </c>
      <c r="E92" s="404"/>
      <c r="F92" s="382" t="s">
        <v>131</v>
      </c>
      <c r="G92" s="404"/>
      <c r="H92" s="521" t="s">
        <v>784</v>
      </c>
      <c r="I92" s="404" t="s">
        <v>787</v>
      </c>
      <c r="J92" s="429" t="s">
        <v>785</v>
      </c>
      <c r="K92" s="404" t="s">
        <v>213</v>
      </c>
      <c r="L92" s="404">
        <f t="shared" si="12"/>
        <v>6</v>
      </c>
      <c r="M92" s="517" t="str">
        <f t="shared" si="11"/>
        <v>Same habitat required =</v>
      </c>
      <c r="N92" s="404" t="s">
        <v>213</v>
      </c>
      <c r="O92" s="404">
        <f t="shared" si="9"/>
        <v>0.33</v>
      </c>
      <c r="P92" s="404" t="s">
        <v>213</v>
      </c>
      <c r="Q92" s="404">
        <f t="shared" si="10"/>
        <v>0.33</v>
      </c>
      <c r="R92" s="382"/>
      <c r="S92" s="404"/>
    </row>
    <row r="93" spans="1:36" x14ac:dyDescent="0.25">
      <c r="A93" s="698" t="s">
        <v>788</v>
      </c>
      <c r="B93" s="91" t="s">
        <v>789</v>
      </c>
      <c r="C93" s="404" t="s">
        <v>790</v>
      </c>
      <c r="D93" s="404" t="s">
        <v>464</v>
      </c>
      <c r="E93" s="404"/>
      <c r="F93" s="382" t="s">
        <v>131</v>
      </c>
      <c r="G93" s="404" t="s">
        <v>791</v>
      </c>
      <c r="H93" s="521" t="s">
        <v>792</v>
      </c>
      <c r="I93" s="404" t="s">
        <v>790</v>
      </c>
      <c r="J93" s="429" t="s">
        <v>788</v>
      </c>
      <c r="K93" s="404" t="s">
        <v>213</v>
      </c>
      <c r="L93" s="404">
        <f t="shared" si="12"/>
        <v>6</v>
      </c>
      <c r="M93" s="517" t="str">
        <f t="shared" si="11"/>
        <v>Same habitat required =</v>
      </c>
      <c r="N93" s="404" t="s">
        <v>213</v>
      </c>
      <c r="O93" s="404">
        <f t="shared" si="9"/>
        <v>0.33</v>
      </c>
      <c r="P93" s="404" t="s">
        <v>213</v>
      </c>
      <c r="Q93" s="404">
        <f t="shared" si="10"/>
        <v>0.33</v>
      </c>
      <c r="R93" s="382"/>
      <c r="S93" s="404"/>
    </row>
    <row r="94" spans="1:36" x14ac:dyDescent="0.25">
      <c r="A94" s="698" t="s">
        <v>793</v>
      </c>
      <c r="B94" s="91" t="s">
        <v>794</v>
      </c>
      <c r="C94" s="404" t="s">
        <v>795</v>
      </c>
      <c r="D94" s="404" t="s">
        <v>464</v>
      </c>
      <c r="E94" s="404"/>
      <c r="F94" s="382" t="s">
        <v>131</v>
      </c>
      <c r="G94" s="404"/>
      <c r="H94" s="521" t="s">
        <v>792</v>
      </c>
      <c r="I94" s="404" t="s">
        <v>795</v>
      </c>
      <c r="J94" s="404" t="s">
        <v>793</v>
      </c>
      <c r="K94" s="404" t="s">
        <v>216</v>
      </c>
      <c r="L94" s="404">
        <f t="shared" si="12"/>
        <v>2</v>
      </c>
      <c r="M94" s="517" t="str">
        <f t="shared" si="11"/>
        <v>Same distinctiveness or better habitat required ≥</v>
      </c>
      <c r="N94" s="404" t="s">
        <v>216</v>
      </c>
      <c r="O94" s="404">
        <f t="shared" si="9"/>
        <v>1</v>
      </c>
      <c r="P94" s="404" t="s">
        <v>216</v>
      </c>
      <c r="Q94" s="404">
        <f t="shared" si="10"/>
        <v>1</v>
      </c>
      <c r="R94" s="382"/>
      <c r="S94" s="404"/>
    </row>
    <row r="95" spans="1:36" x14ac:dyDescent="0.25">
      <c r="A95" s="698" t="s">
        <v>796</v>
      </c>
      <c r="B95" s="91" t="s">
        <v>797</v>
      </c>
      <c r="C95" s="404" t="s">
        <v>798</v>
      </c>
      <c r="D95" s="404" t="s">
        <v>464</v>
      </c>
      <c r="E95" s="404"/>
      <c r="F95" s="382" t="s">
        <v>131</v>
      </c>
      <c r="G95" s="404"/>
      <c r="H95" s="521" t="s">
        <v>792</v>
      </c>
      <c r="I95" s="404" t="s">
        <v>798</v>
      </c>
      <c r="J95" s="404" t="s">
        <v>799</v>
      </c>
      <c r="K95" s="404" t="s">
        <v>70</v>
      </c>
      <c r="L95" s="404">
        <f t="shared" si="12"/>
        <v>4</v>
      </c>
      <c r="M95" s="517" t="str">
        <f t="shared" si="11"/>
        <v>Same broad habitat or a higher distinctiveness habitat required (≥)</v>
      </c>
      <c r="N95" s="404" t="s">
        <v>70</v>
      </c>
      <c r="O95" s="404">
        <f t="shared" si="9"/>
        <v>0.67</v>
      </c>
      <c r="P95" s="404" t="s">
        <v>70</v>
      </c>
      <c r="Q95" s="404">
        <f t="shared" si="10"/>
        <v>0.67</v>
      </c>
      <c r="R95" s="382"/>
      <c r="S95" s="404"/>
    </row>
    <row r="96" spans="1:36" x14ac:dyDescent="0.25">
      <c r="A96" s="698" t="s">
        <v>800</v>
      </c>
      <c r="B96" s="91" t="s">
        <v>801</v>
      </c>
      <c r="C96" s="404" t="s">
        <v>802</v>
      </c>
      <c r="D96" s="404" t="s">
        <v>464</v>
      </c>
      <c r="E96" s="404"/>
      <c r="F96" s="382" t="s">
        <v>131</v>
      </c>
      <c r="G96" s="404"/>
      <c r="H96" s="521" t="s">
        <v>784</v>
      </c>
      <c r="I96" s="404" t="s">
        <v>802</v>
      </c>
      <c r="J96" s="404" t="s">
        <v>800</v>
      </c>
      <c r="K96" s="404" t="s">
        <v>70</v>
      </c>
      <c r="L96" s="404">
        <f t="shared" si="12"/>
        <v>4</v>
      </c>
      <c r="M96" s="517" t="str">
        <f t="shared" si="11"/>
        <v>Same broad habitat or a higher distinctiveness habitat required (≥)</v>
      </c>
      <c r="N96" s="404" t="s">
        <v>216</v>
      </c>
      <c r="O96" s="404">
        <f t="shared" si="9"/>
        <v>1</v>
      </c>
      <c r="P96" s="404" t="s">
        <v>216</v>
      </c>
      <c r="Q96" s="404">
        <f t="shared" si="10"/>
        <v>1</v>
      </c>
      <c r="R96" s="382"/>
      <c r="S96" s="404"/>
    </row>
    <row r="97" spans="1:19" x14ac:dyDescent="0.25">
      <c r="A97" s="698" t="s">
        <v>803</v>
      </c>
      <c r="B97" s="91" t="s">
        <v>804</v>
      </c>
      <c r="C97" s="404" t="s">
        <v>805</v>
      </c>
      <c r="D97" s="404" t="s">
        <v>464</v>
      </c>
      <c r="E97" s="404"/>
      <c r="F97" s="382" t="s">
        <v>131</v>
      </c>
      <c r="G97" s="404"/>
      <c r="H97" s="521" t="s">
        <v>784</v>
      </c>
      <c r="I97" s="404" t="s">
        <v>805</v>
      </c>
      <c r="J97" s="404" t="s">
        <v>803</v>
      </c>
      <c r="K97" s="404" t="s">
        <v>70</v>
      </c>
      <c r="L97" s="404">
        <f t="shared" si="12"/>
        <v>4</v>
      </c>
      <c r="M97" s="517" t="str">
        <f t="shared" si="11"/>
        <v>Same broad habitat or a higher distinctiveness habitat required (≥)</v>
      </c>
      <c r="N97" s="404" t="s">
        <v>216</v>
      </c>
      <c r="O97" s="404">
        <f t="shared" ref="O97:O102" si="13">VLOOKUP(N97,Difficulty,2,FALSE)</f>
        <v>1</v>
      </c>
      <c r="P97" s="404" t="s">
        <v>216</v>
      </c>
      <c r="Q97" s="404">
        <f t="shared" ref="Q97:Q102" si="14">VLOOKUP(P97,Difficulty,2,FALSE)</f>
        <v>1</v>
      </c>
      <c r="R97" s="382"/>
      <c r="S97" s="404"/>
    </row>
    <row r="98" spans="1:19" x14ac:dyDescent="0.25">
      <c r="A98" s="698" t="s">
        <v>806</v>
      </c>
      <c r="B98" s="91" t="s">
        <v>807</v>
      </c>
      <c r="C98" s="404" t="s">
        <v>808</v>
      </c>
      <c r="D98" s="404" t="s">
        <v>464</v>
      </c>
      <c r="E98" s="404"/>
      <c r="F98" s="382" t="s">
        <v>131</v>
      </c>
      <c r="G98" s="404"/>
      <c r="H98" s="521" t="s">
        <v>784</v>
      </c>
      <c r="I98" s="404" t="s">
        <v>808</v>
      </c>
      <c r="J98" s="429" t="s">
        <v>806</v>
      </c>
      <c r="K98" s="404" t="s">
        <v>213</v>
      </c>
      <c r="L98" s="404">
        <f t="shared" si="12"/>
        <v>6</v>
      </c>
      <c r="M98" s="517" t="str">
        <f t="shared" si="11"/>
        <v>Same habitat required =</v>
      </c>
      <c r="N98" s="404" t="s">
        <v>70</v>
      </c>
      <c r="O98" s="404">
        <f t="shared" si="13"/>
        <v>0.67</v>
      </c>
      <c r="P98" s="404" t="s">
        <v>70</v>
      </c>
      <c r="Q98" s="404">
        <f t="shared" si="14"/>
        <v>0.67</v>
      </c>
      <c r="R98" s="382"/>
      <c r="S98" s="404"/>
    </row>
    <row r="99" spans="1:19" x14ac:dyDescent="0.25">
      <c r="A99" s="698" t="s">
        <v>809</v>
      </c>
      <c r="B99" s="91" t="s">
        <v>810</v>
      </c>
      <c r="C99" s="404" t="s">
        <v>811</v>
      </c>
      <c r="D99" s="404" t="s">
        <v>464</v>
      </c>
      <c r="E99" s="404"/>
      <c r="F99" s="382" t="s">
        <v>131</v>
      </c>
      <c r="G99" s="404"/>
      <c r="H99" s="521" t="s">
        <v>784</v>
      </c>
      <c r="I99" s="404" t="s">
        <v>811</v>
      </c>
      <c r="J99" s="429" t="s">
        <v>809</v>
      </c>
      <c r="K99" s="404" t="s">
        <v>213</v>
      </c>
      <c r="L99" s="404">
        <f t="shared" si="12"/>
        <v>6</v>
      </c>
      <c r="M99" s="517" t="str">
        <f t="shared" si="11"/>
        <v>Same habitat required =</v>
      </c>
      <c r="N99" s="404" t="s">
        <v>213</v>
      </c>
      <c r="O99" s="404">
        <f t="shared" si="13"/>
        <v>0.33</v>
      </c>
      <c r="P99" s="404" t="s">
        <v>213</v>
      </c>
      <c r="Q99" s="404">
        <f t="shared" si="14"/>
        <v>0.33</v>
      </c>
      <c r="R99" s="382"/>
      <c r="S99" s="404"/>
    </row>
    <row r="100" spans="1:19" x14ac:dyDescent="0.25">
      <c r="A100" s="698" t="s">
        <v>812</v>
      </c>
      <c r="B100" s="91" t="s">
        <v>813</v>
      </c>
      <c r="C100" s="404" t="s">
        <v>814</v>
      </c>
      <c r="D100" s="404" t="s">
        <v>464</v>
      </c>
      <c r="E100" s="404" t="s">
        <v>815</v>
      </c>
      <c r="F100" s="382" t="s">
        <v>131</v>
      </c>
      <c r="G100" s="404" t="s">
        <v>816</v>
      </c>
      <c r="H100" s="521" t="s">
        <v>784</v>
      </c>
      <c r="I100" s="404" t="s">
        <v>814</v>
      </c>
      <c r="J100" s="429" t="s">
        <v>812</v>
      </c>
      <c r="K100" s="404" t="s">
        <v>213</v>
      </c>
      <c r="L100" s="404">
        <f t="shared" si="12"/>
        <v>6</v>
      </c>
      <c r="M100" s="517" t="str">
        <f t="shared" si="11"/>
        <v>Same habitat required =</v>
      </c>
      <c r="N100" s="404" t="s">
        <v>213</v>
      </c>
      <c r="O100" s="404">
        <f t="shared" si="13"/>
        <v>0.33</v>
      </c>
      <c r="P100" s="404" t="s">
        <v>213</v>
      </c>
      <c r="Q100" s="404">
        <f t="shared" si="14"/>
        <v>0.33</v>
      </c>
      <c r="R100" s="382"/>
      <c r="S100" s="404"/>
    </row>
    <row r="101" spans="1:19" x14ac:dyDescent="0.25">
      <c r="A101" s="698" t="s">
        <v>817</v>
      </c>
      <c r="B101" s="91" t="s">
        <v>818</v>
      </c>
      <c r="C101" s="404" t="s">
        <v>819</v>
      </c>
      <c r="D101" s="404" t="s">
        <v>464</v>
      </c>
      <c r="E101" s="404"/>
      <c r="F101" s="382" t="s">
        <v>131</v>
      </c>
      <c r="G101" s="404"/>
      <c r="H101" s="521" t="s">
        <v>784</v>
      </c>
      <c r="I101" s="404" t="s">
        <v>819</v>
      </c>
      <c r="J101" s="429" t="s">
        <v>817</v>
      </c>
      <c r="K101" s="404" t="s">
        <v>213</v>
      </c>
      <c r="L101" s="404">
        <f t="shared" si="12"/>
        <v>6</v>
      </c>
      <c r="M101" s="517" t="str">
        <f t="shared" si="11"/>
        <v>Same habitat required =</v>
      </c>
      <c r="N101" s="404" t="s">
        <v>70</v>
      </c>
      <c r="O101" s="404">
        <f t="shared" si="13"/>
        <v>0.67</v>
      </c>
      <c r="P101" s="404" t="s">
        <v>70</v>
      </c>
      <c r="Q101" s="404">
        <f t="shared" si="14"/>
        <v>0.67</v>
      </c>
      <c r="R101" s="382"/>
      <c r="S101" s="404"/>
    </row>
    <row r="102" spans="1:19" ht="14.4" thickBot="1" x14ac:dyDescent="0.3">
      <c r="A102" s="698" t="s">
        <v>820</v>
      </c>
      <c r="B102" s="178" t="s">
        <v>821</v>
      </c>
      <c r="C102" s="388">
        <v>20</v>
      </c>
      <c r="D102" s="388" t="s">
        <v>464</v>
      </c>
      <c r="E102" s="388"/>
      <c r="F102" s="371" t="s">
        <v>131</v>
      </c>
      <c r="G102" s="388"/>
      <c r="H102" s="522" t="s">
        <v>780</v>
      </c>
      <c r="I102" s="388"/>
      <c r="J102" s="388" t="s">
        <v>820</v>
      </c>
      <c r="K102" s="388" t="s">
        <v>467</v>
      </c>
      <c r="L102" s="388">
        <f t="shared" si="12"/>
        <v>8</v>
      </c>
      <c r="M102" s="518" t="str">
        <f t="shared" si="11"/>
        <v>Bespoke compensation likely to be required 🛠</v>
      </c>
      <c r="N102" s="388" t="s">
        <v>211</v>
      </c>
      <c r="O102" s="388">
        <f t="shared" si="13"/>
        <v>0.1</v>
      </c>
      <c r="P102" s="388" t="s">
        <v>213</v>
      </c>
      <c r="Q102" s="388">
        <f t="shared" si="14"/>
        <v>0.33</v>
      </c>
      <c r="R102" s="371"/>
      <c r="S102" s="388"/>
    </row>
    <row r="103" spans="1:19" ht="14.4" thickBot="1" x14ac:dyDescent="0.3">
      <c r="A103" s="698" t="s">
        <v>135</v>
      </c>
      <c r="B103" s="180" t="s">
        <v>822</v>
      </c>
      <c r="C103" s="435" t="s">
        <v>823</v>
      </c>
      <c r="D103" s="435" t="s">
        <v>824</v>
      </c>
      <c r="E103" s="435" t="s">
        <v>825</v>
      </c>
      <c r="F103" s="435" t="s">
        <v>135</v>
      </c>
      <c r="G103" s="435"/>
      <c r="H103" s="520" t="s">
        <v>135</v>
      </c>
      <c r="I103" s="435"/>
      <c r="J103" s="435"/>
      <c r="K103" s="435" t="s">
        <v>213</v>
      </c>
      <c r="L103" s="435">
        <f>IF(K103=$V$3,$W$3,IF(K103=$V$3,$W$3,IF(K103=$V$4,$W$4,IF(K103=$V$5,$W$5,IF(K103=$V$6,$W$6,IF(K103=$V$7,$W$7))))))</f>
        <v>6</v>
      </c>
      <c r="M103" s="520" t="str">
        <f t="shared" si="11"/>
        <v>Same habitat required =</v>
      </c>
      <c r="N103" s="435" t="s">
        <v>70</v>
      </c>
      <c r="O103" s="435">
        <f>VLOOKUP(N103,Difficulty,2,FALSE)</f>
        <v>0.67</v>
      </c>
      <c r="P103" s="435" t="s">
        <v>70</v>
      </c>
      <c r="Q103" s="435">
        <f>VLOOKUP(P103,Difficulty,2,FALSE)</f>
        <v>0.67</v>
      </c>
      <c r="R103" s="436"/>
      <c r="S103" s="435"/>
    </row>
    <row r="104" spans="1:19" x14ac:dyDescent="0.25">
      <c r="A104" s="698" t="s">
        <v>826</v>
      </c>
      <c r="B104" s="179" t="s">
        <v>827</v>
      </c>
      <c r="C104" s="383" t="s">
        <v>828</v>
      </c>
      <c r="D104" s="383" t="s">
        <v>824</v>
      </c>
      <c r="E104" s="383" t="s">
        <v>829</v>
      </c>
      <c r="F104" s="383" t="s">
        <v>984</v>
      </c>
      <c r="G104" s="383"/>
      <c r="H104" s="519" t="s">
        <v>826</v>
      </c>
      <c r="I104" s="383"/>
      <c r="J104" s="383"/>
      <c r="K104" s="383" t="s">
        <v>213</v>
      </c>
      <c r="L104" s="383">
        <f t="shared" ref="L104:L128" si="15">IF(K104=$V$3,$W$3,IF(K104=$V$3,$W$3,IF(K104=$V$4,$W$4,IF(K104=$V$5,$W$5,IF(K104=$V$6,$W$6,IF(K104=$V$7,$W$7))))))</f>
        <v>6</v>
      </c>
      <c r="M104" s="519" t="str">
        <f t="shared" si="11"/>
        <v>Same habitat required =</v>
      </c>
      <c r="N104" s="383" t="s">
        <v>213</v>
      </c>
      <c r="O104" s="383">
        <f t="shared" ref="O104:O128" si="16">VLOOKUP(N104,Difficulty,2,FALSE)</f>
        <v>0.33</v>
      </c>
      <c r="P104" s="383" t="s">
        <v>70</v>
      </c>
      <c r="Q104" s="383">
        <f t="shared" ref="Q104:Q128" si="17">VLOOKUP(P104,Difficulty,2,FALSE)</f>
        <v>0.67</v>
      </c>
      <c r="R104" s="370"/>
      <c r="S104" s="383"/>
    </row>
    <row r="105" spans="1:19" ht="27.6" x14ac:dyDescent="0.25">
      <c r="A105" s="698" t="s">
        <v>830</v>
      </c>
      <c r="B105" s="91" t="s">
        <v>831</v>
      </c>
      <c r="C105" s="383" t="s">
        <v>832</v>
      </c>
      <c r="D105" s="404" t="s">
        <v>824</v>
      </c>
      <c r="E105" s="404" t="s">
        <v>829</v>
      </c>
      <c r="F105" s="404" t="s">
        <v>984</v>
      </c>
      <c r="G105" s="404"/>
      <c r="H105" s="517" t="s">
        <v>833</v>
      </c>
      <c r="I105" s="404"/>
      <c r="J105" s="404"/>
      <c r="K105" s="404" t="s">
        <v>467</v>
      </c>
      <c r="L105" s="404">
        <f t="shared" si="15"/>
        <v>8</v>
      </c>
      <c r="M105" s="517" t="str">
        <f t="shared" si="11"/>
        <v>Bespoke compensation likely to be required 🛠</v>
      </c>
      <c r="N105" s="404" t="s">
        <v>211</v>
      </c>
      <c r="O105" s="404">
        <f t="shared" si="16"/>
        <v>0.1</v>
      </c>
      <c r="P105" s="404" t="s">
        <v>70</v>
      </c>
      <c r="Q105" s="404">
        <f t="shared" si="17"/>
        <v>0.67</v>
      </c>
      <c r="R105" s="382"/>
      <c r="S105" s="404"/>
    </row>
    <row r="106" spans="1:19" x14ac:dyDescent="0.25">
      <c r="A106" s="698" t="s">
        <v>834</v>
      </c>
      <c r="B106" s="91" t="s">
        <v>835</v>
      </c>
      <c r="C106" s="404" t="s">
        <v>836</v>
      </c>
      <c r="D106" s="404" t="s">
        <v>824</v>
      </c>
      <c r="E106" s="404" t="s">
        <v>829</v>
      </c>
      <c r="F106" s="404" t="s">
        <v>984</v>
      </c>
      <c r="G106" s="404"/>
      <c r="H106" s="517" t="s">
        <v>834</v>
      </c>
      <c r="I106" s="404"/>
      <c r="J106" s="404"/>
      <c r="K106" s="404" t="s">
        <v>213</v>
      </c>
      <c r="L106" s="404">
        <f t="shared" si="15"/>
        <v>6</v>
      </c>
      <c r="M106" s="517" t="str">
        <f t="shared" si="11"/>
        <v>Same habitat required =</v>
      </c>
      <c r="N106" s="404" t="s">
        <v>213</v>
      </c>
      <c r="O106" s="404">
        <f t="shared" si="16"/>
        <v>0.33</v>
      </c>
      <c r="P106" s="404" t="s">
        <v>70</v>
      </c>
      <c r="Q106" s="404">
        <f t="shared" si="17"/>
        <v>0.67</v>
      </c>
      <c r="R106" s="382"/>
      <c r="S106" s="404"/>
    </row>
    <row r="107" spans="1:19" ht="27.6" x14ac:dyDescent="0.25">
      <c r="A107" s="698" t="s">
        <v>837</v>
      </c>
      <c r="B107" s="91" t="s">
        <v>838</v>
      </c>
      <c r="C107" s="404" t="s">
        <v>839</v>
      </c>
      <c r="D107" s="404" t="s">
        <v>824</v>
      </c>
      <c r="E107" s="404" t="s">
        <v>829</v>
      </c>
      <c r="F107" s="404" t="s">
        <v>984</v>
      </c>
      <c r="G107" s="404"/>
      <c r="H107" s="517" t="s">
        <v>840</v>
      </c>
      <c r="I107" s="404"/>
      <c r="J107" s="404"/>
      <c r="K107" s="404" t="s">
        <v>467</v>
      </c>
      <c r="L107" s="404">
        <f t="shared" si="15"/>
        <v>8</v>
      </c>
      <c r="M107" s="517" t="str">
        <f t="shared" si="11"/>
        <v>Bespoke compensation likely to be required 🛠</v>
      </c>
      <c r="N107" s="404" t="s">
        <v>211</v>
      </c>
      <c r="O107" s="404">
        <f t="shared" si="16"/>
        <v>0.1</v>
      </c>
      <c r="P107" s="404" t="s">
        <v>70</v>
      </c>
      <c r="Q107" s="404">
        <f t="shared" si="17"/>
        <v>0.67</v>
      </c>
      <c r="R107" s="382"/>
      <c r="S107" s="404"/>
    </row>
    <row r="108" spans="1:19" x14ac:dyDescent="0.25">
      <c r="A108" s="698" t="s">
        <v>841</v>
      </c>
      <c r="B108" s="91" t="s">
        <v>842</v>
      </c>
      <c r="C108" s="404" t="s">
        <v>843</v>
      </c>
      <c r="D108" s="404" t="s">
        <v>824</v>
      </c>
      <c r="E108" s="404" t="s">
        <v>829</v>
      </c>
      <c r="F108" s="404" t="s">
        <v>984</v>
      </c>
      <c r="G108" s="404"/>
      <c r="H108" s="517" t="s">
        <v>841</v>
      </c>
      <c r="I108" s="404"/>
      <c r="J108" s="404"/>
      <c r="K108" s="404" t="s">
        <v>213</v>
      </c>
      <c r="L108" s="404">
        <f t="shared" si="15"/>
        <v>6</v>
      </c>
      <c r="M108" s="517" t="str">
        <f t="shared" si="11"/>
        <v>Same habitat required =</v>
      </c>
      <c r="N108" s="404" t="s">
        <v>213</v>
      </c>
      <c r="O108" s="404">
        <f t="shared" si="16"/>
        <v>0.33</v>
      </c>
      <c r="P108" s="404" t="s">
        <v>70</v>
      </c>
      <c r="Q108" s="404">
        <f t="shared" si="17"/>
        <v>0.67</v>
      </c>
      <c r="R108" s="382"/>
      <c r="S108" s="404"/>
    </row>
    <row r="109" spans="1:19" ht="27.6" x14ac:dyDescent="0.25">
      <c r="A109" s="698" t="s">
        <v>844</v>
      </c>
      <c r="B109" s="91" t="s">
        <v>845</v>
      </c>
      <c r="C109" s="404" t="s">
        <v>846</v>
      </c>
      <c r="D109" s="404" t="s">
        <v>824</v>
      </c>
      <c r="E109" s="404" t="s">
        <v>829</v>
      </c>
      <c r="F109" s="404" t="s">
        <v>984</v>
      </c>
      <c r="G109" s="404"/>
      <c r="H109" s="517" t="s">
        <v>847</v>
      </c>
      <c r="I109" s="404"/>
      <c r="J109" s="404"/>
      <c r="K109" s="404" t="s">
        <v>467</v>
      </c>
      <c r="L109" s="404">
        <f t="shared" si="15"/>
        <v>8</v>
      </c>
      <c r="M109" s="517" t="str">
        <f t="shared" si="11"/>
        <v>Bespoke compensation likely to be required 🛠</v>
      </c>
      <c r="N109" s="404" t="s">
        <v>211</v>
      </c>
      <c r="O109" s="404">
        <f t="shared" si="16"/>
        <v>0.1</v>
      </c>
      <c r="P109" s="404" t="s">
        <v>70</v>
      </c>
      <c r="Q109" s="404">
        <f t="shared" si="17"/>
        <v>0.67</v>
      </c>
      <c r="R109" s="382"/>
      <c r="S109" s="404"/>
    </row>
    <row r="110" spans="1:19" x14ac:dyDescent="0.25">
      <c r="A110" s="698" t="s">
        <v>848</v>
      </c>
      <c r="B110" s="91" t="s">
        <v>849</v>
      </c>
      <c r="C110" s="404" t="s">
        <v>850</v>
      </c>
      <c r="D110" s="404" t="s">
        <v>824</v>
      </c>
      <c r="E110" s="404" t="s">
        <v>829</v>
      </c>
      <c r="F110" s="404" t="s">
        <v>984</v>
      </c>
      <c r="G110" s="404"/>
      <c r="H110" s="517" t="s">
        <v>848</v>
      </c>
      <c r="I110" s="404"/>
      <c r="J110" s="404"/>
      <c r="K110" s="404" t="s">
        <v>213</v>
      </c>
      <c r="L110" s="404">
        <f t="shared" si="15"/>
        <v>6</v>
      </c>
      <c r="M110" s="517" t="str">
        <f t="shared" si="11"/>
        <v>Same habitat required =</v>
      </c>
      <c r="N110" s="404" t="s">
        <v>213</v>
      </c>
      <c r="O110" s="404">
        <f t="shared" si="16"/>
        <v>0.33</v>
      </c>
      <c r="P110" s="404" t="s">
        <v>70</v>
      </c>
      <c r="Q110" s="404">
        <f t="shared" si="17"/>
        <v>0.67</v>
      </c>
      <c r="R110" s="382"/>
      <c r="S110" s="404"/>
    </row>
    <row r="111" spans="1:19" ht="28.2" thickBot="1" x14ac:dyDescent="0.3">
      <c r="A111" s="698" t="s">
        <v>851</v>
      </c>
      <c r="B111" s="178" t="s">
        <v>852</v>
      </c>
      <c r="C111" s="388" t="s">
        <v>853</v>
      </c>
      <c r="D111" s="388" t="s">
        <v>824</v>
      </c>
      <c r="E111" s="388" t="s">
        <v>829</v>
      </c>
      <c r="F111" s="388" t="s">
        <v>984</v>
      </c>
      <c r="G111" s="388"/>
      <c r="H111" s="518" t="s">
        <v>854</v>
      </c>
      <c r="I111" s="388"/>
      <c r="J111" s="388"/>
      <c r="K111" s="388" t="s">
        <v>467</v>
      </c>
      <c r="L111" s="388">
        <f t="shared" si="15"/>
        <v>8</v>
      </c>
      <c r="M111" s="518" t="str">
        <f t="shared" si="11"/>
        <v>Bespoke compensation likely to be required 🛠</v>
      </c>
      <c r="N111" s="388" t="s">
        <v>211</v>
      </c>
      <c r="O111" s="388">
        <f t="shared" si="16"/>
        <v>0.1</v>
      </c>
      <c r="P111" s="388" t="s">
        <v>70</v>
      </c>
      <c r="Q111" s="388">
        <f t="shared" si="17"/>
        <v>0.67</v>
      </c>
      <c r="R111" s="371"/>
      <c r="S111" s="388"/>
    </row>
    <row r="112" spans="1:19" ht="27.6" x14ac:dyDescent="0.25">
      <c r="A112" s="698" t="s">
        <v>855</v>
      </c>
      <c r="B112" s="179" t="s">
        <v>856</v>
      </c>
      <c r="C112" s="383" t="s">
        <v>857</v>
      </c>
      <c r="D112" s="383" t="s">
        <v>824</v>
      </c>
      <c r="E112" s="383" t="s">
        <v>858</v>
      </c>
      <c r="F112" s="383" t="s">
        <v>987</v>
      </c>
      <c r="G112" s="383"/>
      <c r="H112" s="519" t="s">
        <v>859</v>
      </c>
      <c r="I112" s="383"/>
      <c r="J112" s="383"/>
      <c r="K112" s="383" t="s">
        <v>213</v>
      </c>
      <c r="L112" s="383">
        <f>IF(K112=$V$3,$W$3,IF(K112=$V$3,$W$3,IF(K112=$V$4,$W$4,IF(K112=$V$5,$W$5,IF(K112=$V$6,$W$6,IF(K112=$V$7,$W$7))))))</f>
        <v>6</v>
      </c>
      <c r="M112" s="519" t="str">
        <f>IF($K112=$V$3,$X$3,IF($K112=$V$4,$X$4,IF($K112=$V$5,$X$5,IF($K112=$V$6,$X$6,IF($K112=$V$7,$X$7)))))</f>
        <v>Same habitat required =</v>
      </c>
      <c r="N112" s="383" t="s">
        <v>213</v>
      </c>
      <c r="O112" s="383">
        <f>VLOOKUP(N112,Difficulty,2,FALSE)</f>
        <v>0.33</v>
      </c>
      <c r="P112" s="383" t="s">
        <v>70</v>
      </c>
      <c r="Q112" s="383">
        <f>VLOOKUP(P112,Difficulty,2,FALSE)</f>
        <v>0.67</v>
      </c>
      <c r="R112" s="370"/>
      <c r="S112" s="383"/>
    </row>
    <row r="113" spans="1:19" ht="28.2" thickBot="1" x14ac:dyDescent="0.3">
      <c r="A113" s="698" t="s">
        <v>860</v>
      </c>
      <c r="B113" s="178" t="s">
        <v>861</v>
      </c>
      <c r="C113" s="388" t="s">
        <v>862</v>
      </c>
      <c r="D113" s="388"/>
      <c r="E113" s="388"/>
      <c r="F113" s="388" t="s">
        <v>987</v>
      </c>
      <c r="G113" s="388"/>
      <c r="H113" s="518" t="s">
        <v>860</v>
      </c>
      <c r="I113" s="388"/>
      <c r="J113" s="388"/>
      <c r="K113" s="388" t="s">
        <v>216</v>
      </c>
      <c r="L113" s="388">
        <f>IF(K113=$V$3,$W$3,IF(K113=$V$3,$W$3,IF(K113=$V$4,$W$4,IF(K113=$V$5,$W$5,IF(K113=$V$6,$W$6,IF(K113=$V$7,$W$7))))))</f>
        <v>2</v>
      </c>
      <c r="M113" s="518" t="str">
        <f>IF($K113=$V$3,$X$3,IF($K113=$V$4,$X$4,IF($K113=$V$5,$X$5,IF($K113=$V$6,$X$6,IF($K113=$V$7,$X$7)))))</f>
        <v>Same distinctiveness or better habitat required ≥</v>
      </c>
      <c r="N113" s="388" t="s">
        <v>213</v>
      </c>
      <c r="O113" s="388">
        <f>VLOOKUP(N113,Difficulty,2,FALSE)</f>
        <v>0.33</v>
      </c>
      <c r="P113" s="388" t="s">
        <v>70</v>
      </c>
      <c r="Q113" s="388">
        <f>VLOOKUP(P113,Difficulty,2,FALSE)</f>
        <v>0.67</v>
      </c>
      <c r="R113" s="371"/>
      <c r="S113" s="388"/>
    </row>
    <row r="114" spans="1:19" x14ac:dyDescent="0.25">
      <c r="A114" s="698" t="s">
        <v>863</v>
      </c>
      <c r="B114" s="179" t="s">
        <v>864</v>
      </c>
      <c r="C114" s="383" t="s">
        <v>865</v>
      </c>
      <c r="D114" s="383" t="s">
        <v>824</v>
      </c>
      <c r="E114" s="383" t="s">
        <v>858</v>
      </c>
      <c r="F114" s="383" t="s">
        <v>132</v>
      </c>
      <c r="G114" s="383"/>
      <c r="H114" s="519" t="s">
        <v>863</v>
      </c>
      <c r="I114" s="383"/>
      <c r="J114" s="383"/>
      <c r="K114" s="383" t="s">
        <v>70</v>
      </c>
      <c r="L114" s="383">
        <f t="shared" si="15"/>
        <v>4</v>
      </c>
      <c r="M114" s="519" t="str">
        <f t="shared" si="11"/>
        <v>Same broad habitat or a higher distinctiveness habitat required (≥)</v>
      </c>
      <c r="N114" s="383" t="s">
        <v>70</v>
      </c>
      <c r="O114" s="383">
        <f t="shared" si="16"/>
        <v>0.67</v>
      </c>
      <c r="P114" s="383" t="s">
        <v>70</v>
      </c>
      <c r="Q114" s="383">
        <f t="shared" si="17"/>
        <v>0.67</v>
      </c>
      <c r="R114" s="370"/>
      <c r="S114" s="383"/>
    </row>
    <row r="115" spans="1:19" x14ac:dyDescent="0.25">
      <c r="A115" s="698" t="s">
        <v>866</v>
      </c>
      <c r="B115" s="91" t="s">
        <v>867</v>
      </c>
      <c r="C115" s="404" t="s">
        <v>868</v>
      </c>
      <c r="D115" s="404" t="s">
        <v>824</v>
      </c>
      <c r="E115" s="404" t="s">
        <v>858</v>
      </c>
      <c r="F115" s="404" t="s">
        <v>132</v>
      </c>
      <c r="G115" s="404"/>
      <c r="H115" s="517" t="s">
        <v>866</v>
      </c>
      <c r="I115" s="404"/>
      <c r="J115" s="404"/>
      <c r="K115" s="404" t="s">
        <v>213</v>
      </c>
      <c r="L115" s="404">
        <f t="shared" si="15"/>
        <v>6</v>
      </c>
      <c r="M115" s="517" t="str">
        <f t="shared" si="11"/>
        <v>Same habitat required =</v>
      </c>
      <c r="N115" s="404" t="s">
        <v>213</v>
      </c>
      <c r="O115" s="404">
        <f t="shared" si="16"/>
        <v>0.33</v>
      </c>
      <c r="P115" s="404" t="s">
        <v>70</v>
      </c>
      <c r="Q115" s="404">
        <f t="shared" si="17"/>
        <v>0.67</v>
      </c>
      <c r="R115" s="382"/>
      <c r="S115" s="404"/>
    </row>
    <row r="116" spans="1:19" x14ac:dyDescent="0.25">
      <c r="A116" s="698" t="s">
        <v>869</v>
      </c>
      <c r="B116" s="91" t="s">
        <v>870</v>
      </c>
      <c r="C116" s="404" t="s">
        <v>871</v>
      </c>
      <c r="D116" s="404" t="s">
        <v>824</v>
      </c>
      <c r="E116" s="404" t="s">
        <v>858</v>
      </c>
      <c r="F116" s="404" t="s">
        <v>132</v>
      </c>
      <c r="G116" s="404"/>
      <c r="H116" s="517" t="s">
        <v>869</v>
      </c>
      <c r="I116" s="404"/>
      <c r="J116" s="404"/>
      <c r="K116" s="404" t="s">
        <v>213</v>
      </c>
      <c r="L116" s="404">
        <f t="shared" si="15"/>
        <v>6</v>
      </c>
      <c r="M116" s="517" t="str">
        <f t="shared" si="11"/>
        <v>Same habitat required =</v>
      </c>
      <c r="N116" s="404" t="s">
        <v>213</v>
      </c>
      <c r="O116" s="404">
        <f t="shared" si="16"/>
        <v>0.33</v>
      </c>
      <c r="P116" s="404" t="s">
        <v>70</v>
      </c>
      <c r="Q116" s="404">
        <f t="shared" si="17"/>
        <v>0.67</v>
      </c>
      <c r="R116" s="382"/>
      <c r="S116" s="404"/>
    </row>
    <row r="117" spans="1:19" x14ac:dyDescent="0.25">
      <c r="A117" s="698" t="s">
        <v>872</v>
      </c>
      <c r="B117" s="91" t="s">
        <v>230</v>
      </c>
      <c r="C117" s="404" t="s">
        <v>873</v>
      </c>
      <c r="D117" s="404" t="s">
        <v>824</v>
      </c>
      <c r="E117" s="404" t="s">
        <v>858</v>
      </c>
      <c r="F117" s="404" t="s">
        <v>132</v>
      </c>
      <c r="G117" s="404"/>
      <c r="H117" s="517" t="s">
        <v>874</v>
      </c>
      <c r="I117" s="404"/>
      <c r="J117" s="404"/>
      <c r="K117" s="404" t="s">
        <v>213</v>
      </c>
      <c r="L117" s="404">
        <f t="shared" si="15"/>
        <v>6</v>
      </c>
      <c r="M117" s="517" t="str">
        <f t="shared" si="11"/>
        <v>Same habitat required =</v>
      </c>
      <c r="N117" s="404" t="s">
        <v>213</v>
      </c>
      <c r="O117" s="404">
        <f t="shared" si="16"/>
        <v>0.33</v>
      </c>
      <c r="P117" s="404" t="s">
        <v>213</v>
      </c>
      <c r="Q117" s="404">
        <f t="shared" si="17"/>
        <v>0.33</v>
      </c>
      <c r="R117" s="382"/>
      <c r="S117" s="404"/>
    </row>
    <row r="118" spans="1:19" ht="27.6" x14ac:dyDescent="0.25">
      <c r="A118" s="698" t="s">
        <v>875</v>
      </c>
      <c r="B118" s="91" t="s">
        <v>876</v>
      </c>
      <c r="C118" s="404" t="s">
        <v>877</v>
      </c>
      <c r="D118" s="404" t="s">
        <v>824</v>
      </c>
      <c r="E118" s="404" t="s">
        <v>858</v>
      </c>
      <c r="F118" s="404" t="s">
        <v>132</v>
      </c>
      <c r="G118" s="404"/>
      <c r="H118" s="517" t="s">
        <v>878</v>
      </c>
      <c r="I118" s="404"/>
      <c r="J118" s="404"/>
      <c r="K118" s="404" t="s">
        <v>467</v>
      </c>
      <c r="L118" s="404">
        <f t="shared" si="15"/>
        <v>8</v>
      </c>
      <c r="M118" s="517" t="str">
        <f t="shared" si="11"/>
        <v>Bespoke compensation likely to be required 🛠</v>
      </c>
      <c r="N118" s="404" t="s">
        <v>211</v>
      </c>
      <c r="O118" s="404">
        <f t="shared" si="16"/>
        <v>0.1</v>
      </c>
      <c r="P118" s="404" t="s">
        <v>213</v>
      </c>
      <c r="Q118" s="404">
        <f t="shared" si="17"/>
        <v>0.33</v>
      </c>
      <c r="R118" s="382"/>
      <c r="S118" s="404"/>
    </row>
    <row r="119" spans="1:19" x14ac:dyDescent="0.25">
      <c r="A119" s="698" t="s">
        <v>879</v>
      </c>
      <c r="B119" s="91" t="s">
        <v>880</v>
      </c>
      <c r="C119" s="404" t="s">
        <v>881</v>
      </c>
      <c r="D119" s="404"/>
      <c r="E119" s="404"/>
      <c r="F119" s="404" t="s">
        <v>132</v>
      </c>
      <c r="G119" s="404"/>
      <c r="H119" s="517" t="s">
        <v>882</v>
      </c>
      <c r="I119" s="404"/>
      <c r="J119" s="404"/>
      <c r="K119" s="404" t="s">
        <v>213</v>
      </c>
      <c r="L119" s="404">
        <f t="shared" si="15"/>
        <v>6</v>
      </c>
      <c r="M119" s="517" t="str">
        <f t="shared" si="11"/>
        <v>Same habitat required =</v>
      </c>
      <c r="N119" s="404" t="s">
        <v>213</v>
      </c>
      <c r="O119" s="404">
        <f t="shared" si="16"/>
        <v>0.33</v>
      </c>
      <c r="P119" s="404" t="s">
        <v>70</v>
      </c>
      <c r="Q119" s="404">
        <f t="shared" si="17"/>
        <v>0.67</v>
      </c>
      <c r="R119" s="382"/>
      <c r="S119" s="404"/>
    </row>
    <row r="120" spans="1:19" ht="27.6" x14ac:dyDescent="0.25">
      <c r="A120" s="698" t="s">
        <v>883</v>
      </c>
      <c r="B120" s="91" t="s">
        <v>884</v>
      </c>
      <c r="C120" s="404" t="s">
        <v>885</v>
      </c>
      <c r="D120" s="404" t="s">
        <v>824</v>
      </c>
      <c r="E120" s="404" t="s">
        <v>858</v>
      </c>
      <c r="F120" s="404" t="s">
        <v>132</v>
      </c>
      <c r="G120" s="404"/>
      <c r="H120" s="517" t="s">
        <v>883</v>
      </c>
      <c r="I120" s="404"/>
      <c r="J120" s="404"/>
      <c r="K120" s="404" t="s">
        <v>213</v>
      </c>
      <c r="L120" s="404">
        <f t="shared" si="15"/>
        <v>6</v>
      </c>
      <c r="M120" s="517" t="str">
        <f t="shared" si="11"/>
        <v>Same habitat required =</v>
      </c>
      <c r="N120" s="404" t="s">
        <v>213</v>
      </c>
      <c r="O120" s="404">
        <f t="shared" si="16"/>
        <v>0.33</v>
      </c>
      <c r="P120" s="404" t="s">
        <v>70</v>
      </c>
      <c r="Q120" s="404">
        <f t="shared" si="17"/>
        <v>0.67</v>
      </c>
      <c r="R120" s="382"/>
      <c r="S120" s="404"/>
    </row>
    <row r="121" spans="1:19" x14ac:dyDescent="0.25">
      <c r="A121" s="698" t="s">
        <v>886</v>
      </c>
      <c r="B121" s="91" t="s">
        <v>887</v>
      </c>
      <c r="C121" s="404" t="s">
        <v>888</v>
      </c>
      <c r="D121" s="404" t="s">
        <v>824</v>
      </c>
      <c r="E121" s="404" t="s">
        <v>858</v>
      </c>
      <c r="F121" s="404" t="s">
        <v>132</v>
      </c>
      <c r="G121" s="404"/>
      <c r="H121" s="517" t="s">
        <v>886</v>
      </c>
      <c r="I121" s="404"/>
      <c r="J121" s="404"/>
      <c r="K121" s="404" t="s">
        <v>213</v>
      </c>
      <c r="L121" s="404">
        <f t="shared" si="15"/>
        <v>6</v>
      </c>
      <c r="M121" s="517" t="str">
        <f t="shared" si="11"/>
        <v>Same habitat required =</v>
      </c>
      <c r="N121" s="404" t="s">
        <v>213</v>
      </c>
      <c r="O121" s="404">
        <f t="shared" si="16"/>
        <v>0.33</v>
      </c>
      <c r="P121" s="404" t="s">
        <v>70</v>
      </c>
      <c r="Q121" s="404">
        <f t="shared" si="17"/>
        <v>0.67</v>
      </c>
      <c r="R121" s="382"/>
      <c r="S121" s="404"/>
    </row>
    <row r="122" spans="1:19" x14ac:dyDescent="0.25">
      <c r="A122" s="698" t="s">
        <v>889</v>
      </c>
      <c r="B122" s="91" t="s">
        <v>890</v>
      </c>
      <c r="C122" s="404" t="s">
        <v>891</v>
      </c>
      <c r="D122" s="404" t="s">
        <v>824</v>
      </c>
      <c r="E122" s="404" t="s">
        <v>858</v>
      </c>
      <c r="F122" s="404" t="s">
        <v>132</v>
      </c>
      <c r="G122" s="404"/>
      <c r="H122" s="517" t="s">
        <v>889</v>
      </c>
      <c r="I122" s="404"/>
      <c r="J122" s="404"/>
      <c r="K122" s="404" t="s">
        <v>216</v>
      </c>
      <c r="L122" s="404">
        <f t="shared" si="15"/>
        <v>2</v>
      </c>
      <c r="M122" s="517" t="str">
        <f t="shared" si="11"/>
        <v>Same distinctiveness or better habitat required ≥</v>
      </c>
      <c r="N122" s="404" t="s">
        <v>70</v>
      </c>
      <c r="O122" s="404">
        <f t="shared" si="16"/>
        <v>0.67</v>
      </c>
      <c r="P122" s="404" t="s">
        <v>70</v>
      </c>
      <c r="Q122" s="404">
        <f t="shared" si="17"/>
        <v>0.67</v>
      </c>
      <c r="R122" s="382"/>
      <c r="S122" s="404"/>
    </row>
    <row r="123" spans="1:19" x14ac:dyDescent="0.25">
      <c r="A123" s="698" t="s">
        <v>892</v>
      </c>
      <c r="B123" s="91" t="s">
        <v>893</v>
      </c>
      <c r="C123" s="404" t="s">
        <v>894</v>
      </c>
      <c r="D123" s="404"/>
      <c r="E123" s="404"/>
      <c r="F123" s="404" t="s">
        <v>132</v>
      </c>
      <c r="G123" s="404"/>
      <c r="H123" s="517" t="s">
        <v>892</v>
      </c>
      <c r="I123" s="404"/>
      <c r="J123" s="404"/>
      <c r="K123" s="404" t="s">
        <v>216</v>
      </c>
      <c r="L123" s="404">
        <f t="shared" si="15"/>
        <v>2</v>
      </c>
      <c r="M123" s="517" t="str">
        <f t="shared" si="11"/>
        <v>Same distinctiveness or better habitat required ≥</v>
      </c>
      <c r="N123" s="404" t="s">
        <v>213</v>
      </c>
      <c r="O123" s="404">
        <f t="shared" si="16"/>
        <v>0.33</v>
      </c>
      <c r="P123" s="404" t="s">
        <v>70</v>
      </c>
      <c r="Q123" s="404">
        <f t="shared" si="17"/>
        <v>0.67</v>
      </c>
      <c r="R123" s="382"/>
      <c r="S123" s="404"/>
    </row>
    <row r="124" spans="1:19" x14ac:dyDescent="0.25">
      <c r="A124" s="698" t="s">
        <v>895</v>
      </c>
      <c r="B124" s="91" t="s">
        <v>896</v>
      </c>
      <c r="C124" s="404" t="s">
        <v>897</v>
      </c>
      <c r="D124" s="404"/>
      <c r="E124" s="404"/>
      <c r="F124" s="404" t="s">
        <v>132</v>
      </c>
      <c r="G124" s="404"/>
      <c r="H124" s="517" t="s">
        <v>895</v>
      </c>
      <c r="I124" s="404"/>
      <c r="J124" s="404"/>
      <c r="K124" s="404" t="s">
        <v>216</v>
      </c>
      <c r="L124" s="404">
        <f t="shared" si="15"/>
        <v>2</v>
      </c>
      <c r="M124" s="517" t="str">
        <f t="shared" si="11"/>
        <v>Same distinctiveness or better habitat required ≥</v>
      </c>
      <c r="N124" s="404" t="s">
        <v>70</v>
      </c>
      <c r="O124" s="404">
        <f t="shared" si="16"/>
        <v>0.67</v>
      </c>
      <c r="P124" s="404" t="s">
        <v>70</v>
      </c>
      <c r="Q124" s="404">
        <f t="shared" si="17"/>
        <v>0.67</v>
      </c>
      <c r="R124" s="382"/>
      <c r="S124" s="404"/>
    </row>
    <row r="125" spans="1:19" x14ac:dyDescent="0.25">
      <c r="A125" s="698" t="s">
        <v>898</v>
      </c>
      <c r="B125" s="91" t="s">
        <v>899</v>
      </c>
      <c r="C125" s="404" t="s">
        <v>900</v>
      </c>
      <c r="D125" s="404" t="s">
        <v>824</v>
      </c>
      <c r="E125" s="404" t="s">
        <v>858</v>
      </c>
      <c r="F125" s="404" t="s">
        <v>132</v>
      </c>
      <c r="G125" s="404"/>
      <c r="H125" s="517" t="s">
        <v>892</v>
      </c>
      <c r="I125" s="404"/>
      <c r="J125" s="404"/>
      <c r="K125" s="404" t="s">
        <v>216</v>
      </c>
      <c r="L125" s="404">
        <f t="shared" si="15"/>
        <v>2</v>
      </c>
      <c r="M125" s="517" t="str">
        <f t="shared" si="11"/>
        <v>Same distinctiveness or better habitat required ≥</v>
      </c>
      <c r="N125" s="404" t="s">
        <v>213</v>
      </c>
      <c r="O125" s="404">
        <f t="shared" si="16"/>
        <v>0.33</v>
      </c>
      <c r="P125" s="404" t="s">
        <v>70</v>
      </c>
      <c r="Q125" s="404">
        <f t="shared" si="17"/>
        <v>0.67</v>
      </c>
      <c r="R125" s="382"/>
      <c r="S125" s="404"/>
    </row>
    <row r="126" spans="1:19" ht="27.6" x14ac:dyDescent="0.25">
      <c r="A126" s="698" t="s">
        <v>901</v>
      </c>
      <c r="B126" s="91" t="s">
        <v>902</v>
      </c>
      <c r="C126" s="404" t="s">
        <v>903</v>
      </c>
      <c r="D126" s="404" t="s">
        <v>824</v>
      </c>
      <c r="E126" s="404" t="s">
        <v>858</v>
      </c>
      <c r="F126" s="404" t="s">
        <v>132</v>
      </c>
      <c r="G126" s="404"/>
      <c r="H126" s="517" t="s">
        <v>901</v>
      </c>
      <c r="I126" s="404"/>
      <c r="J126" s="404"/>
      <c r="K126" s="404" t="s">
        <v>216</v>
      </c>
      <c r="L126" s="404">
        <f t="shared" si="15"/>
        <v>2</v>
      </c>
      <c r="M126" s="517" t="str">
        <f t="shared" si="11"/>
        <v>Same distinctiveness or better habitat required ≥</v>
      </c>
      <c r="N126" s="404" t="s">
        <v>213</v>
      </c>
      <c r="O126" s="404">
        <f t="shared" si="16"/>
        <v>0.33</v>
      </c>
      <c r="P126" s="404" t="s">
        <v>70</v>
      </c>
      <c r="Q126" s="404">
        <f t="shared" si="17"/>
        <v>0.67</v>
      </c>
      <c r="R126" s="382"/>
      <c r="S126" s="404"/>
    </row>
    <row r="127" spans="1:19" x14ac:dyDescent="0.25">
      <c r="A127" s="698" t="s">
        <v>904</v>
      </c>
      <c r="B127" s="91" t="s">
        <v>905</v>
      </c>
      <c r="C127" s="404" t="s">
        <v>906</v>
      </c>
      <c r="D127" s="404" t="s">
        <v>824</v>
      </c>
      <c r="E127" s="404" t="s">
        <v>858</v>
      </c>
      <c r="F127" s="404" t="s">
        <v>132</v>
      </c>
      <c r="G127" s="404"/>
      <c r="H127" s="517" t="s">
        <v>904</v>
      </c>
      <c r="I127" s="404"/>
      <c r="J127" s="404"/>
      <c r="K127" s="404" t="s">
        <v>216</v>
      </c>
      <c r="L127" s="404">
        <f t="shared" si="15"/>
        <v>2</v>
      </c>
      <c r="M127" s="517" t="str">
        <f t="shared" si="11"/>
        <v>Same distinctiveness or better habitat required ≥</v>
      </c>
      <c r="N127" s="404" t="s">
        <v>213</v>
      </c>
      <c r="O127" s="404">
        <f t="shared" si="16"/>
        <v>0.33</v>
      </c>
      <c r="P127" s="404" t="s">
        <v>213</v>
      </c>
      <c r="Q127" s="404">
        <f t="shared" si="17"/>
        <v>0.33</v>
      </c>
      <c r="R127" s="382"/>
      <c r="S127" s="404"/>
    </row>
    <row r="128" spans="1:19" x14ac:dyDescent="0.25">
      <c r="A128" s="698" t="s">
        <v>907</v>
      </c>
      <c r="B128" s="91" t="s">
        <v>908</v>
      </c>
      <c r="C128" s="404" t="s">
        <v>909</v>
      </c>
      <c r="D128" s="404" t="s">
        <v>824</v>
      </c>
      <c r="E128" s="404" t="s">
        <v>858</v>
      </c>
      <c r="F128" s="404" t="s">
        <v>132</v>
      </c>
      <c r="G128" s="404"/>
      <c r="H128" s="517" t="s">
        <v>907</v>
      </c>
      <c r="I128" s="404"/>
      <c r="J128" s="404"/>
      <c r="K128" s="404" t="s">
        <v>216</v>
      </c>
      <c r="L128" s="404">
        <f t="shared" si="15"/>
        <v>2</v>
      </c>
      <c r="M128" s="517" t="str">
        <f t="shared" si="11"/>
        <v>Same distinctiveness or better habitat required ≥</v>
      </c>
      <c r="N128" s="404" t="s">
        <v>213</v>
      </c>
      <c r="O128" s="404">
        <f t="shared" si="16"/>
        <v>0.33</v>
      </c>
      <c r="P128" s="404" t="s">
        <v>70</v>
      </c>
      <c r="Q128" s="404">
        <f t="shared" si="17"/>
        <v>0.67</v>
      </c>
      <c r="R128" s="382"/>
      <c r="S128" s="404"/>
    </row>
    <row r="129" spans="1:20" x14ac:dyDescent="0.25">
      <c r="A129" s="201" t="s">
        <v>910</v>
      </c>
      <c r="B129" s="80" t="s">
        <v>911</v>
      </c>
      <c r="C129" s="404" t="s">
        <v>912</v>
      </c>
      <c r="D129" s="404" t="s">
        <v>824</v>
      </c>
      <c r="E129" s="404"/>
      <c r="F129" s="404" t="s">
        <v>132</v>
      </c>
      <c r="G129" s="404"/>
      <c r="H129" s="521" t="s">
        <v>910</v>
      </c>
      <c r="I129" s="404"/>
      <c r="J129" s="404"/>
      <c r="K129" s="404" t="s">
        <v>70</v>
      </c>
      <c r="L129" s="404">
        <f t="shared" ref="L129:L134" si="18">IF(K129=$V$3,$W$3,IF(K129=$V$3,$W$3,IF(K129=$V$4,$W$4,IF(K129=$V$5,$W$5,IF(K129=$V$6,$W$6,IF(K129=$V$7,$W$7))))))</f>
        <v>4</v>
      </c>
      <c r="M129" s="517" t="str">
        <f t="shared" si="11"/>
        <v>Same broad habitat or a higher distinctiveness habitat required (≥)</v>
      </c>
      <c r="N129" s="404" t="s">
        <v>70</v>
      </c>
      <c r="O129" s="404">
        <f t="shared" ref="O129:O134" si="19">VLOOKUP(N129,Difficulty,2,FALSE)</f>
        <v>0.67</v>
      </c>
      <c r="P129" s="404" t="s">
        <v>70</v>
      </c>
      <c r="Q129" s="404">
        <f t="shared" ref="Q129:Q134" si="20">VLOOKUP(P129,Difficulty,2,FALSE)</f>
        <v>0.67</v>
      </c>
      <c r="R129" s="382"/>
      <c r="S129" s="404"/>
    </row>
    <row r="130" spans="1:20" ht="14.4" thickBot="1" x14ac:dyDescent="0.3">
      <c r="A130" s="201" t="s">
        <v>913</v>
      </c>
      <c r="B130" s="181" t="s">
        <v>914</v>
      </c>
      <c r="C130" s="388" t="s">
        <v>915</v>
      </c>
      <c r="D130" s="388" t="s">
        <v>824</v>
      </c>
      <c r="E130" s="388"/>
      <c r="F130" s="388" t="s">
        <v>132</v>
      </c>
      <c r="G130" s="388"/>
      <c r="H130" s="522" t="s">
        <v>913</v>
      </c>
      <c r="I130" s="388"/>
      <c r="J130" s="388"/>
      <c r="K130" s="388" t="s">
        <v>213</v>
      </c>
      <c r="L130" s="388">
        <f t="shared" si="18"/>
        <v>6</v>
      </c>
      <c r="M130" s="518" t="str">
        <f t="shared" si="11"/>
        <v>Same habitat required =</v>
      </c>
      <c r="N130" s="388" t="s">
        <v>213</v>
      </c>
      <c r="O130" s="388">
        <f t="shared" si="19"/>
        <v>0.33</v>
      </c>
      <c r="P130" s="388" t="s">
        <v>70</v>
      </c>
      <c r="Q130" s="388">
        <f t="shared" si="20"/>
        <v>0.67</v>
      </c>
      <c r="R130" s="371"/>
      <c r="S130" s="388"/>
    </row>
    <row r="131" spans="1:20" ht="14.25" customHeight="1" x14ac:dyDescent="0.25">
      <c r="A131" s="201" t="s">
        <v>916</v>
      </c>
      <c r="B131" s="182" t="s">
        <v>917</v>
      </c>
      <c r="C131" s="383" t="s">
        <v>918</v>
      </c>
      <c r="D131" s="383" t="s">
        <v>824</v>
      </c>
      <c r="E131" s="383"/>
      <c r="F131" s="383" t="s">
        <v>136</v>
      </c>
      <c r="G131" s="383"/>
      <c r="H131" s="523" t="s">
        <v>916</v>
      </c>
      <c r="I131" s="383"/>
      <c r="J131" s="383"/>
      <c r="K131" s="383" t="s">
        <v>216</v>
      </c>
      <c r="L131" s="383">
        <f t="shared" si="18"/>
        <v>2</v>
      </c>
      <c r="M131" s="519" t="str">
        <f>IF($K131=$V$3,$X$3,IF($K131=$V$4,$X$4,IF($K131=$V$5,$X$5,IF($K131=$V$6,$X$6,IF($K131=$V$7,$X$7)))))</f>
        <v>Same distinctiveness or better habitat required ≥</v>
      </c>
      <c r="N131" s="383" t="s">
        <v>70</v>
      </c>
      <c r="O131" s="383">
        <f t="shared" si="19"/>
        <v>0.67</v>
      </c>
      <c r="P131" s="383" t="s">
        <v>70</v>
      </c>
      <c r="Q131" s="383">
        <f t="shared" si="20"/>
        <v>0.67</v>
      </c>
      <c r="R131" s="370"/>
      <c r="S131" s="383"/>
    </row>
    <row r="132" spans="1:20" ht="27.6" x14ac:dyDescent="0.25">
      <c r="A132" s="201" t="s">
        <v>919</v>
      </c>
      <c r="B132" s="80" t="s">
        <v>920</v>
      </c>
      <c r="C132" s="404" t="s">
        <v>921</v>
      </c>
      <c r="D132" s="404" t="s">
        <v>824</v>
      </c>
      <c r="E132" s="404"/>
      <c r="F132" s="383" t="s">
        <v>136</v>
      </c>
      <c r="G132" s="404"/>
      <c r="H132" s="521" t="s">
        <v>919</v>
      </c>
      <c r="I132" s="404"/>
      <c r="J132" s="404"/>
      <c r="K132" s="383" t="s">
        <v>216</v>
      </c>
      <c r="L132" s="404">
        <f t="shared" si="18"/>
        <v>2</v>
      </c>
      <c r="M132" s="517" t="str">
        <f>IF($K132=$V$3,$X$3,IF($K132=$V$4,$X$4,IF($K132=$V$5,$X$5,IF($K132=$V$6,$X$6,IF($K132=$V$7,$X$7)))))</f>
        <v>Same distinctiveness or better habitat required ≥</v>
      </c>
      <c r="N132" s="404" t="s">
        <v>70</v>
      </c>
      <c r="O132" s="404">
        <f t="shared" si="19"/>
        <v>0.67</v>
      </c>
      <c r="P132" s="404" t="s">
        <v>70</v>
      </c>
      <c r="Q132" s="404">
        <f t="shared" si="20"/>
        <v>0.67</v>
      </c>
      <c r="R132" s="382"/>
      <c r="S132" s="404"/>
    </row>
    <row r="133" spans="1:20" ht="42" thickBot="1" x14ac:dyDescent="0.3">
      <c r="A133" s="701" t="s">
        <v>922</v>
      </c>
      <c r="B133" s="565" t="s">
        <v>923</v>
      </c>
      <c r="C133" s="559" t="s">
        <v>924</v>
      </c>
      <c r="D133" s="559" t="s">
        <v>824</v>
      </c>
      <c r="E133" s="559"/>
      <c r="F133" s="566" t="s">
        <v>136</v>
      </c>
      <c r="G133" s="559"/>
      <c r="H133" s="560" t="s">
        <v>925</v>
      </c>
      <c r="I133" s="559"/>
      <c r="J133" s="559"/>
      <c r="K133" s="559" t="s">
        <v>70</v>
      </c>
      <c r="L133" s="559">
        <f t="shared" si="18"/>
        <v>4</v>
      </c>
      <c r="M133" s="561" t="str">
        <f>IF($K133=$V$3,$X$3,IF($K133=$V$4,$X$4,IF($K133=$V$5,$X$5,IF($K133=$V$6,$X$6,IF($K133=$V$7,$X$7)))))</f>
        <v>Same broad habitat or a higher distinctiveness habitat required (≥)</v>
      </c>
      <c r="N133" s="559" t="s">
        <v>70</v>
      </c>
      <c r="O133" s="559">
        <f t="shared" si="19"/>
        <v>0.67</v>
      </c>
      <c r="P133" s="559" t="s">
        <v>70</v>
      </c>
      <c r="Q133" s="559">
        <f t="shared" si="20"/>
        <v>0.67</v>
      </c>
      <c r="R133" s="395"/>
      <c r="S133" s="559"/>
    </row>
    <row r="134" spans="1:20" ht="42" thickBot="1" x14ac:dyDescent="0.3">
      <c r="A134" s="201" t="s">
        <v>137</v>
      </c>
      <c r="B134" s="567" t="s">
        <v>926</v>
      </c>
      <c r="C134" s="435" t="s">
        <v>927</v>
      </c>
      <c r="D134" s="436" t="s">
        <v>137</v>
      </c>
      <c r="E134" s="435"/>
      <c r="F134" s="435" t="s">
        <v>137</v>
      </c>
      <c r="G134" s="435"/>
      <c r="H134" s="520" t="s">
        <v>137</v>
      </c>
      <c r="I134" s="435"/>
      <c r="J134" s="435"/>
      <c r="K134" s="435" t="s">
        <v>928</v>
      </c>
      <c r="L134" s="435">
        <f t="shared" si="18"/>
        <v>0</v>
      </c>
      <c r="M134" s="435" t="str">
        <f>IF($K134=$V$3,$X$3,IF($K134=$V$4,$X$4,IF($K134=$V$5,$X$5,IF($K134=$V$6,$X$6,IF($K134=$V$7,$X$7)))))</f>
        <v>Compensation Not Required</v>
      </c>
      <c r="N134" s="435" t="s">
        <v>70</v>
      </c>
      <c r="O134" s="435">
        <f t="shared" si="19"/>
        <v>0.67</v>
      </c>
      <c r="P134" s="435" t="s">
        <v>211</v>
      </c>
      <c r="Q134" s="435">
        <f t="shared" si="20"/>
        <v>0.1</v>
      </c>
      <c r="R134" s="436" t="s">
        <v>929</v>
      </c>
      <c r="S134" s="435"/>
      <c r="T134" s="93"/>
    </row>
    <row r="135" spans="1:20" x14ac:dyDescent="0.25"/>
    <row r="136" spans="1:20" x14ac:dyDescent="0.25"/>
    <row r="137" spans="1:20" x14ac:dyDescent="0.25"/>
    <row r="138" spans="1:20" x14ac:dyDescent="0.25"/>
    <row r="139" spans="1:20" x14ac:dyDescent="0.25"/>
    <row r="140" spans="1:20" x14ac:dyDescent="0.25"/>
    <row r="141" spans="1:20" x14ac:dyDescent="0.25"/>
    <row r="142" spans="1:20" x14ac:dyDescent="0.25"/>
    <row r="143" spans="1:20" x14ac:dyDescent="0.25"/>
    <row r="144" spans="1:20" x14ac:dyDescent="0.25"/>
    <row r="145" x14ac:dyDescent="0.25"/>
    <row r="146" x14ac:dyDescent="0.25"/>
    <row r="147" x14ac:dyDescent="0.25"/>
    <row r="148"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sheetData>
  <sheetProtection algorithmName="SHA-512" hashValue="QQWdrQnldhhN4lmEGCLUolmrEo9NZtOHj2gZbSRTFIzmWpCnpPP5IQGX4qWI6dngQhfx4UkHpkadKH825t6xOA==" saltValue="Y1tHDy+mmAtdUvJDzdnZKw==" spinCount="100000" sheet="1" objects="1" scenarios="1"/>
  <autoFilter ref="B2:S133" xr:uid="{00000000-0009-0000-0000-00000F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xr:uid="{00000000-0002-0000-0F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FFC000"/>
  </sheetPr>
  <dimension ref="A1:BG176"/>
  <sheetViews>
    <sheetView showGridLines="0" topLeftCell="C1" zoomScale="80" zoomScaleNormal="80" workbookViewId="0">
      <selection sqref="A1:AF1"/>
    </sheetView>
  </sheetViews>
  <sheetFormatPr defaultColWidth="16.44140625" defaultRowHeight="13.8" x14ac:dyDescent="0.25"/>
  <cols>
    <col min="1" max="1" width="88.77734375" style="30" bestFit="1" customWidth="1"/>
    <col min="2" max="2" width="27.77734375" style="30" customWidth="1"/>
    <col min="3" max="3" width="18.5546875" style="30" customWidth="1"/>
    <col min="4" max="4" width="62.77734375" style="30" bestFit="1" customWidth="1"/>
    <col min="5" max="35" width="16.44140625" style="30"/>
    <col min="36" max="36" width="23.77734375" style="30" customWidth="1"/>
    <col min="37" max="38" width="16.44140625" style="30"/>
    <col min="39" max="39" width="24.77734375" style="30" customWidth="1"/>
    <col min="40" max="40" width="25.77734375" style="30" customWidth="1"/>
    <col min="41" max="41" width="23.21875" style="30" customWidth="1"/>
    <col min="42" max="42" width="23.5546875" style="30" customWidth="1"/>
    <col min="43" max="46" width="16.44140625" style="30"/>
    <col min="47" max="47" width="78.44140625" style="30" customWidth="1"/>
    <col min="48" max="48" width="24.44140625" style="30" bestFit="1" customWidth="1"/>
    <col min="49" max="49" width="16.77734375" style="30" bestFit="1" customWidth="1"/>
    <col min="50" max="50" width="23.5546875" style="30" bestFit="1" customWidth="1"/>
    <col min="51" max="51" width="28.21875" style="30" customWidth="1"/>
    <col min="52" max="52" width="29.21875" style="30" bestFit="1" customWidth="1"/>
    <col min="53" max="53" width="26.21875" style="30" bestFit="1" customWidth="1"/>
    <col min="54" max="54" width="25.77734375" style="30" bestFit="1" customWidth="1"/>
    <col min="55" max="55" width="28.21875" style="30" bestFit="1" customWidth="1"/>
    <col min="56" max="57" width="34.77734375" style="30" bestFit="1" customWidth="1"/>
    <col min="58" max="58" width="27.21875" style="30" bestFit="1" customWidth="1"/>
    <col min="59" max="59" width="9.21875" style="30" bestFit="1" customWidth="1"/>
    <col min="60" max="16384" width="16.44140625" style="30"/>
  </cols>
  <sheetData>
    <row r="1" spans="1:59" ht="51.6" customHeight="1" x14ac:dyDescent="0.6">
      <c r="A1" s="1640" t="s">
        <v>930</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96"/>
      <c r="AJ1" s="1634" t="s">
        <v>931</v>
      </c>
      <c r="AK1" s="1635"/>
      <c r="AL1" s="1635"/>
      <c r="AM1" s="1635"/>
      <c r="AN1" s="1635"/>
      <c r="AO1" s="1635"/>
      <c r="AP1" s="1636"/>
      <c r="AU1" s="1637" t="s">
        <v>932</v>
      </c>
      <c r="AV1" s="1638"/>
      <c r="AW1" s="1638"/>
      <c r="AX1" s="1638"/>
      <c r="AY1" s="1638"/>
      <c r="AZ1" s="1638"/>
      <c r="BA1" s="1638"/>
      <c r="BB1" s="1638"/>
      <c r="BC1" s="1638"/>
      <c r="BD1" s="1638"/>
      <c r="BE1" s="1638"/>
      <c r="BF1" s="1638"/>
      <c r="BG1" s="1639"/>
    </row>
    <row r="2" spans="1:59" ht="22.8" x14ac:dyDescent="0.4">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55" customHeight="1" x14ac:dyDescent="0.6">
      <c r="A3" s="78" t="s">
        <v>933</v>
      </c>
      <c r="B3" s="78" t="s">
        <v>220</v>
      </c>
      <c r="C3" s="78" t="s">
        <v>269</v>
      </c>
      <c r="D3" s="78" t="s">
        <v>934</v>
      </c>
      <c r="E3" s="78" t="s">
        <v>935</v>
      </c>
      <c r="F3" s="78" t="s">
        <v>936</v>
      </c>
      <c r="G3" s="78" t="s">
        <v>937</v>
      </c>
      <c r="H3" s="78" t="s">
        <v>938</v>
      </c>
      <c r="I3" s="78" t="s">
        <v>939</v>
      </c>
      <c r="J3" s="78" t="s">
        <v>940</v>
      </c>
      <c r="K3" s="78" t="s">
        <v>941</v>
      </c>
      <c r="L3" s="78" t="s">
        <v>942</v>
      </c>
      <c r="M3" s="78" t="s">
        <v>943</v>
      </c>
      <c r="N3" s="78" t="s">
        <v>944</v>
      </c>
      <c r="O3" s="78" t="s">
        <v>945</v>
      </c>
      <c r="P3" s="78" t="s">
        <v>946</v>
      </c>
      <c r="Q3" s="78" t="s">
        <v>947</v>
      </c>
      <c r="R3" s="78" t="s">
        <v>948</v>
      </c>
      <c r="S3" s="78" t="s">
        <v>949</v>
      </c>
      <c r="T3" s="78" t="s">
        <v>950</v>
      </c>
      <c r="U3" s="78" t="s">
        <v>951</v>
      </c>
      <c r="V3" s="78" t="s">
        <v>952</v>
      </c>
      <c r="W3" s="78" t="s">
        <v>953</v>
      </c>
      <c r="X3" s="78" t="s">
        <v>954</v>
      </c>
      <c r="Y3" s="78" t="s">
        <v>955</v>
      </c>
      <c r="Z3" s="78" t="s">
        <v>956</v>
      </c>
      <c r="AA3" s="78" t="s">
        <v>957</v>
      </c>
      <c r="AB3" s="78" t="s">
        <v>958</v>
      </c>
      <c r="AC3" s="78" t="s">
        <v>959</v>
      </c>
      <c r="AD3" s="78" t="s">
        <v>960</v>
      </c>
      <c r="AE3" s="78" t="s">
        <v>961</v>
      </c>
      <c r="AF3" s="78" t="s">
        <v>962</v>
      </c>
      <c r="AJ3" s="537" t="s">
        <v>963</v>
      </c>
      <c r="AK3" s="538" t="s">
        <v>964</v>
      </c>
      <c r="AL3" s="538" t="s">
        <v>965</v>
      </c>
      <c r="AM3" s="538" t="s">
        <v>966</v>
      </c>
      <c r="AN3" s="538" t="s">
        <v>967</v>
      </c>
      <c r="AO3" s="538" t="s">
        <v>119</v>
      </c>
      <c r="AP3" s="538" t="s">
        <v>120</v>
      </c>
      <c r="AU3" s="87" t="s">
        <v>211</v>
      </c>
      <c r="AV3" s="88"/>
      <c r="AW3" s="89"/>
      <c r="AX3" s="89"/>
      <c r="AY3" s="89"/>
      <c r="AZ3" s="89"/>
      <c r="BA3" s="89"/>
      <c r="BB3" s="89"/>
      <c r="BC3" s="89"/>
      <c r="BD3" s="89"/>
      <c r="BE3" s="89"/>
      <c r="BF3" s="89"/>
      <c r="BG3" s="89"/>
    </row>
    <row r="4" spans="1:59" ht="31.2" x14ac:dyDescent="0.3">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124</v>
      </c>
      <c r="AK4" s="548">
        <f t="shared" ref="AK4:AK16" si="7">SUMIF($B:$B,$AJ4,E:E)</f>
        <v>16.273</v>
      </c>
      <c r="AL4" s="548">
        <f t="shared" ref="AL4:AL18" si="8">SUMIF($B:$B,$AJ4,F:F)</f>
        <v>32.545999999999999</v>
      </c>
      <c r="AM4" s="548">
        <f t="shared" ref="AM4:AM18" si="9">SUMIF($B:$B,$AJ4,O:O)</f>
        <v>0.17499999999999999</v>
      </c>
      <c r="AN4" s="548">
        <f t="shared" ref="AN4:AN18" si="10">SUMIF($B:$B,$AJ4,P:P)</f>
        <v>0.34187999999999996</v>
      </c>
      <c r="AO4" s="651">
        <f t="shared" ref="AO4:AO18" si="11">SUMIF($B:$B,$AJ4,Q:Q)</f>
        <v>-16.098000000000003</v>
      </c>
      <c r="AP4" s="651">
        <f t="shared" ref="AP4:AP18" si="12">SUMIF($B:$B,$AJ4,R:R)</f>
        <v>-32.204120000000003</v>
      </c>
      <c r="AU4" s="94" t="s">
        <v>968</v>
      </c>
      <c r="AV4" s="97" t="s">
        <v>220</v>
      </c>
      <c r="AW4" s="97" t="s">
        <v>969</v>
      </c>
      <c r="AX4" s="97" t="s">
        <v>970</v>
      </c>
      <c r="AY4" s="97" t="s">
        <v>971</v>
      </c>
      <c r="AZ4" s="97" t="s">
        <v>972</v>
      </c>
      <c r="BA4" s="97" t="s">
        <v>973</v>
      </c>
      <c r="BB4" s="97" t="s">
        <v>974</v>
      </c>
      <c r="BC4" s="97" t="s">
        <v>975</v>
      </c>
      <c r="BD4" s="97" t="s">
        <v>976</v>
      </c>
      <c r="BE4" s="97" t="s">
        <v>977</v>
      </c>
      <c r="BF4" s="97" t="s">
        <v>978</v>
      </c>
      <c r="BG4" s="97" t="s">
        <v>979</v>
      </c>
    </row>
    <row r="5" spans="1:59" ht="14.55" customHeight="1" x14ac:dyDescent="0.25">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125</v>
      </c>
      <c r="AK5" s="549">
        <f t="shared" si="7"/>
        <v>29.661000000000001</v>
      </c>
      <c r="AL5" s="549">
        <f t="shared" si="8"/>
        <v>61.362000000000002</v>
      </c>
      <c r="AM5" s="549">
        <f t="shared" si="9"/>
        <v>42.995000000000005</v>
      </c>
      <c r="AN5" s="549">
        <f t="shared" si="10"/>
        <v>181.31072774346643</v>
      </c>
      <c r="AO5" s="651">
        <f t="shared" si="11"/>
        <v>13.334000000000005</v>
      </c>
      <c r="AP5" s="651">
        <f t="shared" si="12"/>
        <v>119.94872774346641</v>
      </c>
      <c r="AU5" s="91" t="s">
        <v>527</v>
      </c>
      <c r="AV5" s="68" t="s">
        <v>125</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55" customHeight="1" x14ac:dyDescent="0.25">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126</v>
      </c>
      <c r="AK6" s="549">
        <f t="shared" si="7"/>
        <v>2.3E-2</v>
      </c>
      <c r="AL6" s="549">
        <f t="shared" si="8"/>
        <v>0.184</v>
      </c>
      <c r="AM6" s="549">
        <f t="shared" si="9"/>
        <v>0.66100000000000003</v>
      </c>
      <c r="AN6" s="549">
        <f t="shared" si="10"/>
        <v>4.4251501687728005</v>
      </c>
      <c r="AO6" s="651">
        <f t="shared" si="11"/>
        <v>0.63800000000000001</v>
      </c>
      <c r="AP6" s="651">
        <f t="shared" si="12"/>
        <v>4.2411501687728004</v>
      </c>
      <c r="AU6" s="91" t="s">
        <v>533</v>
      </c>
      <c r="AV6" s="68" t="s">
        <v>125</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55" customHeight="1" x14ac:dyDescent="0.25">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127</v>
      </c>
      <c r="AK7" s="549">
        <f t="shared" si="7"/>
        <v>0</v>
      </c>
      <c r="AL7" s="549">
        <f t="shared" si="8"/>
        <v>0</v>
      </c>
      <c r="AM7" s="549">
        <f t="shared" si="9"/>
        <v>0</v>
      </c>
      <c r="AN7" s="549">
        <f t="shared" si="10"/>
        <v>0</v>
      </c>
      <c r="AO7" s="651">
        <f t="shared" si="11"/>
        <v>0</v>
      </c>
      <c r="AP7" s="651">
        <f t="shared" si="12"/>
        <v>0</v>
      </c>
      <c r="AU7" s="91" t="s">
        <v>560</v>
      </c>
      <c r="AV7" s="68" t="s">
        <v>125</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55" customHeight="1" x14ac:dyDescent="0.25">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0.58299999999999996</v>
      </c>
      <c r="F8" s="346">
        <f>SUMIF('A-1 On-Site Habitat Baseline'!$G$11:$G$258,'G-2 Habitat groups'!A8,'A-1 On-Site Habitat Baseline'!$Q$11:$Q$258)</f>
        <v>1.1659999999999999</v>
      </c>
      <c r="G8" s="346">
        <f>SUMIF('A-1 On-Site Habitat Baseline'!$G$11:$G$258,'G-2 Habitat groups'!A8,'A-1 On-Site Habitat Baseline'!$S$11:$S$258)</f>
        <v>5.8999999999999997E-2</v>
      </c>
      <c r="H8" s="346">
        <f>SUMIF('A-1 On-Site Habitat Baseline'!$G$11:$G$258,'G-2 Habitat groups'!A8,'A-1 On-Site Habitat Baseline'!$U$11:$U$258)</f>
        <v>0.11799999999999999</v>
      </c>
      <c r="I8" s="346">
        <f>SUMIF('A-1 On-Site Habitat Baseline'!$G$11:$G$258,'G-2 Habitat groups'!A8,'A-1 On-Site Habitat Baseline'!$W$11:$W$258)</f>
        <v>0.52400000000000002</v>
      </c>
      <c r="J8" s="346">
        <f>SUMIF('A-1 On-Site Habitat Baseline'!$G$11:$G$258,'G-2 Habitat groups'!A8,'A-1 On-Site Habitat Baseline'!$X$11:$X$258)</f>
        <v>1.048</v>
      </c>
      <c r="K8" s="346">
        <f>SUMIF('A-2 On-Site Habitat Creation'!$F$11:$F$256,'G-2 Habitat groups'!A8,'A-2 On-Site Habitat Creation'!$G$11:$G$256)</f>
        <v>0.11599999999999999</v>
      </c>
      <c r="L8" s="346">
        <f>SUMIF('A-2 On-Site Habitat Creation'!$F$11:$F$256,'G-2 Habitat groups'!A8,'A-2 On-Site Habitat Creation'!$Y$11:$Y$256)</f>
        <v>0.22387999999999997</v>
      </c>
      <c r="M8" s="346">
        <f>SUMIF('A-3 On-Site Habitat Enhancement'!$S$12:$S$257,'G-2 Habitat groups'!A8,'A-3 On-Site Habitat Enhancement'!$V$12:$V$257)</f>
        <v>0</v>
      </c>
      <c r="N8" s="346">
        <f>SUMIF('A-3 On-Site Habitat Enhancement'!$S$12:$S$257,'G-2 Habitat groups'!A8,'A-3 On-Site Habitat Enhancement'!$AN$12:$AN$257)</f>
        <v>0</v>
      </c>
      <c r="O8" s="346">
        <f t="shared" si="0"/>
        <v>0.17499999999999999</v>
      </c>
      <c r="P8" s="346">
        <f t="shared" si="1"/>
        <v>0.34187999999999996</v>
      </c>
      <c r="Q8" s="346">
        <f t="shared" si="2"/>
        <v>-0.40799999999999997</v>
      </c>
      <c r="R8" s="346">
        <f t="shared" si="3"/>
        <v>-0.82411999999999996</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-0.40799999999999997</v>
      </c>
      <c r="AF8" s="346">
        <f t="shared" si="15"/>
        <v>-0.82411999999999996</v>
      </c>
      <c r="AJ8" s="83" t="s">
        <v>128</v>
      </c>
      <c r="AK8" s="549">
        <f t="shared" si="7"/>
        <v>0</v>
      </c>
      <c r="AL8" s="549">
        <f t="shared" si="8"/>
        <v>0</v>
      </c>
      <c r="AM8" s="549">
        <f t="shared" si="9"/>
        <v>0</v>
      </c>
      <c r="AN8" s="549">
        <f t="shared" si="10"/>
        <v>0</v>
      </c>
      <c r="AO8" s="651">
        <f t="shared" si="11"/>
        <v>0</v>
      </c>
      <c r="AP8" s="651">
        <f t="shared" si="12"/>
        <v>0</v>
      </c>
      <c r="AU8" s="91" t="s">
        <v>591</v>
      </c>
      <c r="AV8" s="68" t="s">
        <v>126</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55" customHeight="1" x14ac:dyDescent="0.25">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129</v>
      </c>
      <c r="AK9" s="549">
        <f>SUMIF($B:$B,$AJ9,E:E)</f>
        <v>0.51300000000000001</v>
      </c>
      <c r="AL9" s="549">
        <f t="shared" si="8"/>
        <v>0</v>
      </c>
      <c r="AM9" s="549">
        <f t="shared" si="9"/>
        <v>1.3779999999999999</v>
      </c>
      <c r="AN9" s="549">
        <f t="shared" si="10"/>
        <v>0</v>
      </c>
      <c r="AO9" s="651">
        <f t="shared" si="11"/>
        <v>0.86499999999999988</v>
      </c>
      <c r="AP9" s="651">
        <f t="shared" si="12"/>
        <v>0</v>
      </c>
      <c r="AU9" s="91" t="s">
        <v>613</v>
      </c>
      <c r="AV9" s="68" t="s">
        <v>127</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x14ac:dyDescent="0.25">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130</v>
      </c>
      <c r="AK10" s="549">
        <f t="shared" si="7"/>
        <v>0</v>
      </c>
      <c r="AL10" s="549">
        <f t="shared" si="8"/>
        <v>0</v>
      </c>
      <c r="AM10" s="549">
        <f t="shared" si="9"/>
        <v>0</v>
      </c>
      <c r="AN10" s="549">
        <f t="shared" si="10"/>
        <v>0</v>
      </c>
      <c r="AO10" s="651">
        <f t="shared" si="11"/>
        <v>0</v>
      </c>
      <c r="AP10" s="651">
        <f t="shared" si="12"/>
        <v>0</v>
      </c>
      <c r="AU10" s="91" t="s">
        <v>649</v>
      </c>
      <c r="AV10" s="68" t="s">
        <v>128</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55" customHeight="1" x14ac:dyDescent="0.25">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131</v>
      </c>
      <c r="AK11" s="549">
        <f t="shared" si="7"/>
        <v>0.32500000000000001</v>
      </c>
      <c r="AL11" s="549">
        <f t="shared" si="8"/>
        <v>2.6</v>
      </c>
      <c r="AM11" s="549">
        <f t="shared" si="9"/>
        <v>1.5860000000000001</v>
      </c>
      <c r="AN11" s="549">
        <f t="shared" si="10"/>
        <v>8.5117324898840021</v>
      </c>
      <c r="AO11" s="651">
        <f t="shared" si="11"/>
        <v>1.2610000000000001</v>
      </c>
      <c r="AP11" s="651">
        <f t="shared" si="12"/>
        <v>5.9117324898840025</v>
      </c>
      <c r="AU11" s="91" t="s">
        <v>671</v>
      </c>
      <c r="AV11" s="68" t="s">
        <v>128</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55" customHeight="1" x14ac:dyDescent="0.25">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15.690000000000001</v>
      </c>
      <c r="F12" s="346">
        <f>SUMIF('A-1 On-Site Habitat Baseline'!$G$11:$G$258,'G-2 Habitat groups'!A12,'A-1 On-Site Habitat Baseline'!$Q$11:$Q$258)</f>
        <v>31.380000000000003</v>
      </c>
      <c r="G12" s="346">
        <f>SUMIF('A-1 On-Site Habitat Baseline'!$G$11:$G$258,'G-2 Habitat groups'!A12,'A-1 On-Site Habitat Baseline'!$S$11:$S$258)</f>
        <v>0</v>
      </c>
      <c r="H12" s="346">
        <f>SUMIF('A-1 On-Site Habitat Baseline'!$G$11:$G$258,'G-2 Habitat groups'!A12,'A-1 On-Site Habitat Baseline'!$U$11:$U$258)</f>
        <v>0</v>
      </c>
      <c r="I12" s="346">
        <f>SUMIF('A-1 On-Site Habitat Baseline'!$G$11:$G$258,'G-2 Habitat groups'!A12,'A-1 On-Site Habitat Baseline'!$W$11:$W$258)</f>
        <v>15.690000000000001</v>
      </c>
      <c r="J12" s="346">
        <f>SUMIF('A-1 On-Site Habitat Baseline'!$G$11:$G$258,'G-2 Habitat groups'!A12,'A-1 On-Site Habitat Baseline'!$X$11:$X$258)</f>
        <v>31.380000000000003</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0</v>
      </c>
      <c r="P12" s="346">
        <f t="shared" si="1"/>
        <v>0</v>
      </c>
      <c r="Q12" s="346">
        <f t="shared" si="2"/>
        <v>-15.690000000000001</v>
      </c>
      <c r="R12" s="346">
        <f t="shared" si="3"/>
        <v>-31.380000000000003</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-15.690000000000001</v>
      </c>
      <c r="AF12" s="346">
        <f t="shared" si="15"/>
        <v>-31.380000000000003</v>
      </c>
      <c r="AJ12" s="84" t="s">
        <v>132</v>
      </c>
      <c r="AK12" s="549">
        <f t="shared" si="7"/>
        <v>0</v>
      </c>
      <c r="AL12" s="549">
        <f t="shared" si="8"/>
        <v>0</v>
      </c>
      <c r="AM12" s="549">
        <f t="shared" si="9"/>
        <v>0</v>
      </c>
      <c r="AN12" s="549">
        <f t="shared" si="10"/>
        <v>0</v>
      </c>
      <c r="AO12" s="651">
        <f t="shared" si="11"/>
        <v>0</v>
      </c>
      <c r="AP12" s="651">
        <f t="shared" si="12"/>
        <v>0</v>
      </c>
      <c r="AU12" s="91" t="s">
        <v>747</v>
      </c>
      <c r="AV12" s="68" t="s">
        <v>130</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55" customHeight="1" x14ac:dyDescent="0.25">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133</v>
      </c>
      <c r="AK13" s="549">
        <f t="shared" si="7"/>
        <v>0</v>
      </c>
      <c r="AL13" s="549">
        <f t="shared" si="8"/>
        <v>0</v>
      </c>
      <c r="AM13" s="549">
        <f t="shared" si="9"/>
        <v>0</v>
      </c>
      <c r="AN13" s="549">
        <f t="shared" si="10"/>
        <v>0</v>
      </c>
      <c r="AO13" s="651">
        <f t="shared" si="11"/>
        <v>0</v>
      </c>
      <c r="AP13" s="651">
        <f t="shared" si="12"/>
        <v>0</v>
      </c>
      <c r="AU13" s="91" t="s">
        <v>751</v>
      </c>
      <c r="AV13" s="68" t="s">
        <v>130</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55" customHeight="1" x14ac:dyDescent="0.25">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0</v>
      </c>
      <c r="L14" s="346">
        <f>SUMIF('A-2 On-Site Habitat Creation'!$F$11:$F$256,'G-2 Habitat groups'!A14,'A-2 On-Site Habitat Creation'!$Y$11:$Y$256)</f>
        <v>0</v>
      </c>
      <c r="M14" s="346">
        <f>SUMIF('A-3 On-Site Habitat Enhancement'!$S$12:$S$257,'G-2 Habitat groups'!A14,'A-3 On-Site Habitat Enhancement'!$V$12:$V$257)</f>
        <v>0</v>
      </c>
      <c r="N14" s="346">
        <f>SUMIF('A-3 On-Site Habitat Enhancement'!$S$12:$S$257,'G-2 Habitat groups'!A14,'A-3 On-Site Habitat Enhancement'!$AN$12:$AN$257)</f>
        <v>0</v>
      </c>
      <c r="O14" s="346">
        <f t="shared" si="0"/>
        <v>0</v>
      </c>
      <c r="P14" s="346">
        <f t="shared" si="1"/>
        <v>0</v>
      </c>
      <c r="Q14" s="346">
        <f t="shared" si="2"/>
        <v>0</v>
      </c>
      <c r="R14" s="346">
        <f t="shared" si="3"/>
        <v>0</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0</v>
      </c>
      <c r="AF14" s="346">
        <f t="shared" si="15"/>
        <v>0</v>
      </c>
      <c r="AJ14" s="85" t="s">
        <v>134</v>
      </c>
      <c r="AK14" s="549">
        <f t="shared" si="7"/>
        <v>0</v>
      </c>
      <c r="AL14" s="549">
        <f t="shared" si="8"/>
        <v>0</v>
      </c>
      <c r="AM14" s="549">
        <f t="shared" si="9"/>
        <v>0</v>
      </c>
      <c r="AN14" s="549">
        <f t="shared" si="10"/>
        <v>0</v>
      </c>
      <c r="AO14" s="651">
        <f t="shared" si="11"/>
        <v>0</v>
      </c>
      <c r="AP14" s="651">
        <f t="shared" si="12"/>
        <v>0</v>
      </c>
      <c r="AU14" s="91" t="s">
        <v>756</v>
      </c>
      <c r="AV14" s="68" t="s">
        <v>130</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x14ac:dyDescent="0.25">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7.2999999999999995E-2</v>
      </c>
      <c r="F15" s="346">
        <f>SUMIF('A-1 On-Site Habitat Baseline'!$G$11:$G$258,'G-2 Habitat groups'!A15,'A-1 On-Site Habitat Baseline'!$Q$11:$Q$258)</f>
        <v>0.14599999999999999</v>
      </c>
      <c r="G15" s="346">
        <f>SUMIF('A-1 On-Site Habitat Baseline'!$G$11:$G$258,'G-2 Habitat groups'!A15,'A-1 On-Site Habitat Baseline'!$S$11:$S$258)</f>
        <v>7.2999999999999995E-2</v>
      </c>
      <c r="H15" s="346">
        <f>SUMIF('A-1 On-Site Habitat Baseline'!$G$11:$G$258,'G-2 Habitat groups'!A15,'A-1 On-Site Habitat Baseline'!$U$11:$U$258)</f>
        <v>0.14599999999999999</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7.2999999999999995E-2</v>
      </c>
      <c r="P15" s="346">
        <f t="shared" si="1"/>
        <v>0.14599999999999999</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135</v>
      </c>
      <c r="AK15" s="549">
        <f t="shared" si="7"/>
        <v>0</v>
      </c>
      <c r="AL15" s="549">
        <f t="shared" si="8"/>
        <v>0</v>
      </c>
      <c r="AM15" s="549">
        <f t="shared" si="9"/>
        <v>0</v>
      </c>
      <c r="AN15" s="549">
        <f t="shared" si="10"/>
        <v>0</v>
      </c>
      <c r="AO15" s="651">
        <f t="shared" si="11"/>
        <v>0</v>
      </c>
      <c r="AP15" s="651">
        <f t="shared" si="12"/>
        <v>0</v>
      </c>
      <c r="AU15" s="91" t="s">
        <v>762</v>
      </c>
      <c r="AV15" s="68" t="s">
        <v>130</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x14ac:dyDescent="0.25">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136</v>
      </c>
      <c r="AK16" s="549">
        <f t="shared" si="7"/>
        <v>0</v>
      </c>
      <c r="AL16" s="549">
        <f t="shared" si="8"/>
        <v>0</v>
      </c>
      <c r="AM16" s="549">
        <f t="shared" si="9"/>
        <v>0</v>
      </c>
      <c r="AN16" s="549">
        <f t="shared" si="10"/>
        <v>0</v>
      </c>
      <c r="AO16" s="651">
        <f t="shared" si="11"/>
        <v>0</v>
      </c>
      <c r="AP16" s="651">
        <f t="shared" si="12"/>
        <v>0</v>
      </c>
      <c r="AU16" s="91" t="s">
        <v>765</v>
      </c>
      <c r="AV16" s="68" t="s">
        <v>130</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x14ac:dyDescent="0.25">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138</v>
      </c>
      <c r="AK17" s="549">
        <f>SUMIF($B:$B,$AJ17,E:E)</f>
        <v>0</v>
      </c>
      <c r="AL17" s="549">
        <f t="shared" si="8"/>
        <v>0</v>
      </c>
      <c r="AM17" s="549">
        <f t="shared" si="9"/>
        <v>0</v>
      </c>
      <c r="AN17" s="549">
        <f t="shared" si="10"/>
        <v>0</v>
      </c>
      <c r="AO17" s="549">
        <f t="shared" si="11"/>
        <v>0</v>
      </c>
      <c r="AP17" s="549">
        <f t="shared" si="12"/>
        <v>0</v>
      </c>
      <c r="AU17" s="91" t="s">
        <v>770</v>
      </c>
      <c r="AV17" s="68" t="s">
        <v>130</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x14ac:dyDescent="0.25">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137</v>
      </c>
      <c r="AK18" s="549">
        <f>SUMIF($B:$B,$AJ18,E:E)</f>
        <v>0</v>
      </c>
      <c r="AL18" s="549">
        <f t="shared" si="8"/>
        <v>0</v>
      </c>
      <c r="AM18" s="549">
        <f t="shared" si="9"/>
        <v>0</v>
      </c>
      <c r="AN18" s="549">
        <f t="shared" si="10"/>
        <v>0</v>
      </c>
      <c r="AO18" s="549">
        <f t="shared" si="11"/>
        <v>0</v>
      </c>
      <c r="AP18" s="549">
        <f t="shared" si="12"/>
        <v>0</v>
      </c>
      <c r="AU18" s="91" t="s">
        <v>776</v>
      </c>
      <c r="AV18" s="68" t="s">
        <v>130</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x14ac:dyDescent="0.25">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821</v>
      </c>
      <c r="AV19" s="91" t="s">
        <v>131</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31.2" x14ac:dyDescent="0.2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29.248000000000001</v>
      </c>
      <c r="F20" s="346">
        <f>SUMIF('A-1 On-Site Habitat Baseline'!$G$11:$G$258,'G-2 Habitat groups'!A20,'A-1 On-Site Habitat Baseline'!$Q$11:$Q$258)</f>
        <v>58.496000000000002</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29.248000000000001</v>
      </c>
      <c r="J20" s="346">
        <f>SUMIF('A-1 On-Site Habitat Baseline'!$G$11:$G$258,'G-2 Habitat groups'!A20,'A-1 On-Site Habitat Baseline'!$X$11:$X$258)</f>
        <v>58.496000000000002</v>
      </c>
      <c r="K20" s="346">
        <f>SUMIF('A-2 On-Site Habitat Creation'!$F$11:$F$256,'G-2 Habitat groups'!A20,'A-2 On-Site Habitat Creation'!$G$11:$G$256)</f>
        <v>33.053000000000004</v>
      </c>
      <c r="L20" s="346">
        <f>SUMIF('A-2 On-Site Habitat Creation'!$F$11:$F$256,'G-2 Habitat groups'!A20,'A-2 On-Site Habitat Creation'!$Y$11:$Y$256)</f>
        <v>114.6516022393272</v>
      </c>
      <c r="M20" s="346">
        <f>SUMIF('A-3 On-Site Habitat Enhancement'!$S$12:$S$257,'G-2 Habitat groups'!A20,'A-3 On-Site Habitat Enhancement'!$V$12:$V$257)</f>
        <v>0</v>
      </c>
      <c r="N20" s="346">
        <f>SUMIF('A-3 On-Site Habitat Enhancement'!$S$12:$S$257,'G-2 Habitat groups'!A20,'A-3 On-Site Habitat Enhancement'!$AN$12:$AN$257)</f>
        <v>0</v>
      </c>
      <c r="O20" s="346">
        <f t="shared" si="0"/>
        <v>33.053000000000004</v>
      </c>
      <c r="P20" s="346">
        <f t="shared" si="1"/>
        <v>114.6516022393272</v>
      </c>
      <c r="Q20" s="346">
        <f t="shared" si="2"/>
        <v>3.8050000000000033</v>
      </c>
      <c r="R20" s="346">
        <f t="shared" si="3"/>
        <v>56.155602239327202</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3.8050000000000033</v>
      </c>
      <c r="AF20" s="346">
        <f t="shared" si="15"/>
        <v>56.155602239327202</v>
      </c>
      <c r="AJ20" s="539" t="s">
        <v>980</v>
      </c>
      <c r="AK20" s="539" t="s">
        <v>964</v>
      </c>
      <c r="AL20" s="539" t="s">
        <v>965</v>
      </c>
      <c r="AM20" s="539" t="s">
        <v>981</v>
      </c>
      <c r="AN20" s="539" t="s">
        <v>982</v>
      </c>
      <c r="AO20" s="539" t="s">
        <v>146</v>
      </c>
      <c r="AP20" s="539" t="s">
        <v>983</v>
      </c>
      <c r="AU20" s="91" t="s">
        <v>831</v>
      </c>
      <c r="AV20" s="68" t="s">
        <v>984</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x14ac:dyDescent="0.25">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124</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838</v>
      </c>
      <c r="AV21" s="68" t="s">
        <v>984</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x14ac:dyDescent="0.25">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0.34</v>
      </c>
      <c r="F22" s="346">
        <f>SUMIF('A-1 On-Site Habitat Baseline'!$G$11:$G$258,'G-2 Habitat groups'!A22,'A-1 On-Site Habitat Baseline'!$Q$11:$Q$258)</f>
        <v>2.72</v>
      </c>
      <c r="G22" s="346">
        <f>SUMIF('A-1 On-Site Habitat Baseline'!$G$11:$G$258,'G-2 Habitat groups'!A22,'A-1 On-Site Habitat Baseline'!$S$11:$S$258)</f>
        <v>0.34</v>
      </c>
      <c r="H22" s="346">
        <f>SUMIF('A-1 On-Site Habitat Baseline'!$G$11:$G$258,'G-2 Habitat groups'!A22,'A-1 On-Site Habitat Baseline'!$U$11:$U$258)</f>
        <v>2.72</v>
      </c>
      <c r="I22" s="346">
        <f>SUMIF('A-1 On-Site Habitat Baseline'!$G$11:$G$258,'G-2 Habitat groups'!A22,'A-1 On-Site Habitat Baseline'!$W$11:$W$258)</f>
        <v>0</v>
      </c>
      <c r="J22" s="346">
        <f>SUMIF('A-1 On-Site Habitat Baseline'!$G$11:$G$258,'G-2 Habitat groups'!A22,'A-1 On-Site Habitat Baseline'!$X$11:$X$258)</f>
        <v>0</v>
      </c>
      <c r="K22" s="346">
        <f>SUMIF('A-2 On-Site Habitat Creation'!$F$11:$F$256,'G-2 Habitat groups'!A22,'A-2 On-Site Habitat Creation'!$G$11:$G$256)</f>
        <v>9.5290000000000017</v>
      </c>
      <c r="L22" s="346">
        <f>SUMIF('A-2 On-Site Habitat Creation'!$F$11:$F$256,'G-2 Habitat groups'!A22,'A-2 On-Site Habitat Creation'!$Y$11:$Y$256)</f>
        <v>63.793125504139212</v>
      </c>
      <c r="M22" s="346">
        <f>SUMIF('A-3 On-Site Habitat Enhancement'!$S$12:$S$257,'G-2 Habitat groups'!A22,'A-3 On-Site Habitat Enhancement'!$V$12:$V$257)</f>
        <v>0</v>
      </c>
      <c r="N22" s="346">
        <f>SUMIF('A-3 On-Site Habitat Enhancement'!$S$12:$S$257,'G-2 Habitat groups'!A22,'A-3 On-Site Habitat Enhancement'!$AN$12:$AN$257)</f>
        <v>0</v>
      </c>
      <c r="O22" s="346">
        <f t="shared" si="0"/>
        <v>9.8690000000000015</v>
      </c>
      <c r="P22" s="346">
        <f t="shared" si="1"/>
        <v>66.513125504139211</v>
      </c>
      <c r="Q22" s="346">
        <f t="shared" si="2"/>
        <v>9.5290000000000017</v>
      </c>
      <c r="R22" s="346">
        <f t="shared" si="3"/>
        <v>63.793125504139212</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9.5290000000000017</v>
      </c>
      <c r="AF22" s="346">
        <f t="shared" si="15"/>
        <v>63.793125504139212</v>
      </c>
      <c r="AJ22" s="82" t="s">
        <v>125</v>
      </c>
      <c r="AK22" s="549">
        <f t="shared" si="27"/>
        <v>0</v>
      </c>
      <c r="AL22" s="549">
        <f t="shared" si="28"/>
        <v>0</v>
      </c>
      <c r="AM22" s="549">
        <f t="shared" si="29"/>
        <v>0</v>
      </c>
      <c r="AN22" s="549">
        <f t="shared" si="30"/>
        <v>0</v>
      </c>
      <c r="AO22" s="651">
        <f t="shared" si="31"/>
        <v>0</v>
      </c>
      <c r="AP22" s="651">
        <f t="shared" si="32"/>
        <v>0</v>
      </c>
      <c r="AU22" s="91" t="s">
        <v>845</v>
      </c>
      <c r="AV22" s="68" t="s">
        <v>984</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x14ac:dyDescent="0.25">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126</v>
      </c>
      <c r="AK23" s="549">
        <f t="shared" si="27"/>
        <v>0</v>
      </c>
      <c r="AL23" s="549">
        <f t="shared" si="28"/>
        <v>0</v>
      </c>
      <c r="AM23" s="549">
        <f t="shared" si="29"/>
        <v>0</v>
      </c>
      <c r="AN23" s="549">
        <f t="shared" si="30"/>
        <v>0</v>
      </c>
      <c r="AO23" s="651">
        <f t="shared" si="31"/>
        <v>0</v>
      </c>
      <c r="AP23" s="651">
        <f t="shared" si="32"/>
        <v>0</v>
      </c>
      <c r="AU23" s="91" t="s">
        <v>852</v>
      </c>
      <c r="AV23" s="68" t="s">
        <v>984</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x14ac:dyDescent="0.25">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127</v>
      </c>
      <c r="AK24" s="549">
        <f t="shared" si="27"/>
        <v>0</v>
      </c>
      <c r="AL24" s="549">
        <f t="shared" si="28"/>
        <v>0</v>
      </c>
      <c r="AM24" s="549">
        <f t="shared" si="29"/>
        <v>0</v>
      </c>
      <c r="AN24" s="549">
        <f t="shared" si="30"/>
        <v>0</v>
      </c>
      <c r="AO24" s="651">
        <f t="shared" si="31"/>
        <v>0</v>
      </c>
      <c r="AP24" s="651">
        <f t="shared" si="32"/>
        <v>0</v>
      </c>
      <c r="AU24" s="91" t="s">
        <v>876</v>
      </c>
      <c r="AV24" s="68" t="s">
        <v>132</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x14ac:dyDescent="0.25">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128</v>
      </c>
      <c r="AK25" s="549">
        <f t="shared" si="27"/>
        <v>0</v>
      </c>
      <c r="AL25" s="549">
        <f t="shared" si="28"/>
        <v>0</v>
      </c>
      <c r="AM25" s="549">
        <f t="shared" si="29"/>
        <v>0</v>
      </c>
      <c r="AN25" s="549">
        <f t="shared" si="30"/>
        <v>0</v>
      </c>
      <c r="AO25" s="651">
        <f t="shared" si="31"/>
        <v>0</v>
      </c>
      <c r="AP25" s="651">
        <f t="shared" si="32"/>
        <v>0</v>
      </c>
    </row>
    <row r="26" spans="1:59" x14ac:dyDescent="0.25">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129</v>
      </c>
      <c r="AK26" s="549">
        <f>SUMIF($B:$B,$AJ26,S:S)</f>
        <v>0</v>
      </c>
      <c r="AL26" s="549">
        <f t="shared" si="28"/>
        <v>0</v>
      </c>
      <c r="AM26" s="549">
        <f t="shared" si="29"/>
        <v>0</v>
      </c>
      <c r="AN26" s="549">
        <f t="shared" si="30"/>
        <v>0</v>
      </c>
      <c r="AO26" s="651">
        <f t="shared" si="31"/>
        <v>0</v>
      </c>
      <c r="AP26" s="651">
        <f t="shared" si="32"/>
        <v>0</v>
      </c>
    </row>
    <row r="27" spans="1:59" ht="15.6" customHeight="1" x14ac:dyDescent="0.25">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130</v>
      </c>
      <c r="AK27" s="549">
        <f t="shared" si="27"/>
        <v>0</v>
      </c>
      <c r="AL27" s="549">
        <f t="shared" si="28"/>
        <v>0</v>
      </c>
      <c r="AM27" s="549">
        <f t="shared" si="29"/>
        <v>0</v>
      </c>
      <c r="AN27" s="549">
        <f t="shared" si="30"/>
        <v>0</v>
      </c>
      <c r="AO27" s="651">
        <f t="shared" si="31"/>
        <v>0</v>
      </c>
      <c r="AP27" s="651">
        <f t="shared" si="32"/>
        <v>0</v>
      </c>
      <c r="AU27" s="1633" t="s">
        <v>213</v>
      </c>
    </row>
    <row r="28" spans="1:59" ht="15.6" customHeight="1" x14ac:dyDescent="0.25">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0</v>
      </c>
      <c r="F28" s="346">
        <f>SUMIF('A-1 On-Site Habitat Baseline'!$G$11:$G$258,'G-2 Habitat groups'!A28,'A-1 On-Site Habitat Baseline'!$Q$11:$Q$258)</f>
        <v>0</v>
      </c>
      <c r="G28" s="346">
        <f>SUMIF('A-1 On-Site Habitat Baseline'!$G$11:$G$258,'G-2 Habitat groups'!A28,'A-1 On-Site Habitat Baseline'!$S$11:$S$258)</f>
        <v>0</v>
      </c>
      <c r="H28" s="346">
        <f>SUMIF('A-1 On-Site Habitat Baseline'!$G$11:$G$258,'G-2 Habitat groups'!A28,'A-1 On-Site Habitat Baseline'!$U$11:$U$258)</f>
        <v>0</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0</v>
      </c>
      <c r="P28" s="346">
        <f t="shared" si="1"/>
        <v>0</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131</v>
      </c>
      <c r="AK28" s="549">
        <f t="shared" si="27"/>
        <v>0</v>
      </c>
      <c r="AL28" s="549">
        <f t="shared" si="28"/>
        <v>0</v>
      </c>
      <c r="AM28" s="549">
        <f t="shared" si="29"/>
        <v>0</v>
      </c>
      <c r="AN28" s="549">
        <f t="shared" si="30"/>
        <v>0</v>
      </c>
      <c r="AO28" s="651">
        <f t="shared" si="31"/>
        <v>0</v>
      </c>
      <c r="AP28" s="651">
        <f t="shared" si="32"/>
        <v>0</v>
      </c>
      <c r="AU28" s="1633"/>
      <c r="AV28" s="75"/>
      <c r="AW28" s="75"/>
      <c r="AX28" s="75"/>
      <c r="AY28" s="75"/>
      <c r="AZ28" s="75"/>
      <c r="BA28" s="75"/>
      <c r="BB28" s="75"/>
      <c r="BC28" s="75"/>
      <c r="BD28" s="75"/>
      <c r="BE28" s="75"/>
      <c r="BF28" s="75"/>
    </row>
    <row r="29" spans="1:59" ht="32.25" customHeight="1" x14ac:dyDescent="0.3">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0</v>
      </c>
      <c r="F29" s="346">
        <f>SUMIF('A-1 On-Site Habitat Baseline'!$G$11:$G$258,'G-2 Habitat groups'!A29,'A-1 On-Site Habitat Baseline'!$Q$11:$Q$258)</f>
        <v>0</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0</v>
      </c>
      <c r="J29" s="346">
        <f>SUMIF('A-1 On-Site Habitat Baseline'!$G$11:$G$258,'G-2 Habitat groups'!A29,'A-1 On-Site Habitat Baseline'!$X$11:$X$258)</f>
        <v>0</v>
      </c>
      <c r="K29" s="346">
        <f>SUMIF('A-2 On-Site Habitat Creation'!$F$11:$F$256,'G-2 Habitat groups'!A29,'A-2 On-Site Habitat Creation'!$G$11:$G$256)</f>
        <v>0</v>
      </c>
      <c r="L29" s="346">
        <f>SUMIF('A-2 On-Site Habitat Creation'!$F$11:$F$256,'G-2 Habitat groups'!A29,'A-2 On-Site Habitat Creation'!$Y$11:$Y$256)</f>
        <v>0</v>
      </c>
      <c r="M29" s="346">
        <f>SUMIF('A-3 On-Site Habitat Enhancement'!$S$12:$S$257,'G-2 Habitat groups'!A29,'A-3 On-Site Habitat Enhancement'!$V$12:$V$257)</f>
        <v>0</v>
      </c>
      <c r="N29" s="346">
        <f>SUMIF('A-3 On-Site Habitat Enhancement'!$S$12:$S$257,'G-2 Habitat groups'!A29,'A-3 On-Site Habitat Enhancement'!$AN$12:$AN$257)</f>
        <v>0</v>
      </c>
      <c r="O29" s="346">
        <f t="shared" si="0"/>
        <v>0</v>
      </c>
      <c r="P29" s="346">
        <f t="shared" si="1"/>
        <v>0</v>
      </c>
      <c r="Q29" s="346">
        <f t="shared" si="2"/>
        <v>0</v>
      </c>
      <c r="R29" s="346">
        <f t="shared" si="3"/>
        <v>0</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v>
      </c>
      <c r="AF29" s="346">
        <f t="shared" si="15"/>
        <v>0</v>
      </c>
      <c r="AJ29" s="84" t="s">
        <v>132</v>
      </c>
      <c r="AK29" s="549">
        <f t="shared" si="27"/>
        <v>0</v>
      </c>
      <c r="AL29" s="549">
        <f t="shared" si="28"/>
        <v>0</v>
      </c>
      <c r="AM29" s="549">
        <f t="shared" si="29"/>
        <v>0</v>
      </c>
      <c r="AN29" s="549">
        <f t="shared" si="30"/>
        <v>0</v>
      </c>
      <c r="AO29" s="651">
        <f t="shared" si="31"/>
        <v>0</v>
      </c>
      <c r="AP29" s="651">
        <f t="shared" si="32"/>
        <v>0</v>
      </c>
      <c r="AU29" s="94" t="s">
        <v>968</v>
      </c>
      <c r="AV29" s="97" t="s">
        <v>220</v>
      </c>
      <c r="AW29" s="97" t="s">
        <v>969</v>
      </c>
      <c r="AX29" s="97" t="s">
        <v>970</v>
      </c>
      <c r="AY29" s="97" t="s">
        <v>971</v>
      </c>
      <c r="AZ29" s="97" t="s">
        <v>972</v>
      </c>
      <c r="BA29" s="97" t="s">
        <v>973</v>
      </c>
      <c r="BB29" s="97" t="s">
        <v>985</v>
      </c>
      <c r="BC29" s="97" t="s">
        <v>975</v>
      </c>
      <c r="BD29" s="97" t="s">
        <v>976</v>
      </c>
      <c r="BE29" s="97" t="s">
        <v>977</v>
      </c>
      <c r="BF29" s="97" t="s">
        <v>978</v>
      </c>
    </row>
    <row r="30" spans="1:59" x14ac:dyDescent="0.25">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133</v>
      </c>
      <c r="AK30" s="548">
        <f t="shared" si="27"/>
        <v>0</v>
      </c>
      <c r="AL30" s="548">
        <f t="shared" si="28"/>
        <v>0</v>
      </c>
      <c r="AM30" s="548">
        <f t="shared" si="29"/>
        <v>0</v>
      </c>
      <c r="AN30" s="548">
        <f t="shared" si="30"/>
        <v>0</v>
      </c>
      <c r="AO30" s="651">
        <f t="shared" si="31"/>
        <v>0</v>
      </c>
      <c r="AP30" s="651">
        <f t="shared" si="32"/>
        <v>0</v>
      </c>
      <c r="AU30" s="86" t="s">
        <v>509</v>
      </c>
      <c r="AV30" s="68" t="s">
        <v>125</v>
      </c>
      <c r="AW30" s="358">
        <f t="shared" ref="AW30:AW73" si="33">VLOOKUP($AU30,AllHabsSummaryData,5,FALSE)</f>
        <v>0</v>
      </c>
      <c r="AX30" s="358">
        <f t="shared" ref="AX30:AX73" si="34">VLOOKUP($AU30,AllHabsSummaryData,10,FALSE)</f>
        <v>0</v>
      </c>
      <c r="AY30" s="358">
        <f t="shared" ref="AY30:AY73" si="35">VLOOKUP($AU30,AllHabsSummaryData,15,FALSE)</f>
        <v>0</v>
      </c>
      <c r="AZ30" s="358">
        <f t="shared" ref="AZ30:AZ73" si="36">VLOOKUP($AU30,AllHabsSummaryData,16,FALSE)</f>
        <v>0</v>
      </c>
      <c r="BA30" s="358">
        <f t="shared" ref="BA30:BA73" si="37">VLOOKUP($AU30,AllHabsSummaryData,17,FALSE)</f>
        <v>0</v>
      </c>
      <c r="BB30" s="358">
        <f t="shared" ref="BB30:BB73" si="38">VLOOKUP($AU30,AllHabsSummaryData,18,FALSE)</f>
        <v>0</v>
      </c>
      <c r="BC30" s="358">
        <f t="shared" ref="BC30:BC73" si="39">VLOOKUP($AU30,AllHabsSummaryData,27,FALSE)</f>
        <v>0</v>
      </c>
      <c r="BD30" s="358">
        <f t="shared" ref="BD30:BD73" si="40">VLOOKUP($AU30,AllHabsSummaryData,30,FALSE)</f>
        <v>0</v>
      </c>
      <c r="BE30" s="358">
        <f t="shared" ref="BE30:BE73" si="41">BB30+BD30</f>
        <v>0</v>
      </c>
      <c r="BF30" s="358" t="str">
        <f t="shared" ref="BF30:BF73" si="42">IF(BE30&lt;0,BE30,"")</f>
        <v/>
      </c>
    </row>
    <row r="31" spans="1:59" x14ac:dyDescent="0.25">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134</v>
      </c>
      <c r="AK31" s="548">
        <f t="shared" si="27"/>
        <v>0</v>
      </c>
      <c r="AL31" s="548">
        <f t="shared" si="28"/>
        <v>0</v>
      </c>
      <c r="AM31" s="548">
        <f t="shared" si="29"/>
        <v>0</v>
      </c>
      <c r="AN31" s="548">
        <f t="shared" si="30"/>
        <v>0</v>
      </c>
      <c r="AO31" s="651">
        <f t="shared" si="31"/>
        <v>0</v>
      </c>
      <c r="AP31" s="651">
        <f t="shared" si="32"/>
        <v>0</v>
      </c>
      <c r="AU31" s="86" t="s">
        <v>516</v>
      </c>
      <c r="AV31" s="68" t="s">
        <v>125</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x14ac:dyDescent="0.25">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135</v>
      </c>
      <c r="AK32" s="549">
        <f t="shared" si="27"/>
        <v>0</v>
      </c>
      <c r="AL32" s="549">
        <f t="shared" si="28"/>
        <v>0</v>
      </c>
      <c r="AM32" s="549">
        <f t="shared" si="29"/>
        <v>0</v>
      </c>
      <c r="AN32" s="549">
        <f t="shared" si="30"/>
        <v>0</v>
      </c>
      <c r="AO32" s="651">
        <f t="shared" si="31"/>
        <v>0</v>
      </c>
      <c r="AP32" s="651">
        <f t="shared" si="32"/>
        <v>0</v>
      </c>
      <c r="AU32" s="86" t="s">
        <v>521</v>
      </c>
      <c r="AV32" s="68" t="s">
        <v>125</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x14ac:dyDescent="0.25">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2.3E-2</v>
      </c>
      <c r="F33" s="346">
        <f>SUMIF('A-1 On-Site Habitat Baseline'!$G$11:$G$258,'G-2 Habitat groups'!A33,'A-1 On-Site Habitat Baseline'!$Q$11:$Q$258)</f>
        <v>0.184</v>
      </c>
      <c r="G33" s="346">
        <f>SUMIF('A-1 On-Site Habitat Baseline'!$G$11:$G$258,'G-2 Habitat groups'!A33,'A-1 On-Site Habitat Baseline'!$S$11:$S$258)</f>
        <v>0</v>
      </c>
      <c r="H33" s="346">
        <f>SUMIF('A-1 On-Site Habitat Baseline'!$G$11:$G$258,'G-2 Habitat groups'!A33,'A-1 On-Site Habitat Baseline'!$U$11:$U$258)</f>
        <v>0</v>
      </c>
      <c r="I33" s="346">
        <f>SUMIF('A-1 On-Site Habitat Baseline'!$G$11:$G$258,'G-2 Habitat groups'!A33,'A-1 On-Site Habitat Baseline'!$W$11:$W$258)</f>
        <v>2.3E-2</v>
      </c>
      <c r="J33" s="346">
        <f>SUMIF('A-1 On-Site Habitat Baseline'!$G$11:$G$258,'G-2 Habitat groups'!A33,'A-1 On-Site Habitat Baseline'!$X$11:$X$258)</f>
        <v>0.184</v>
      </c>
      <c r="K33" s="346">
        <f>SUMIF('A-2 On-Site Habitat Creation'!$F$11:$F$256,'G-2 Habitat groups'!A33,'A-2 On-Site Habitat Creation'!$G$11:$G$256)</f>
        <v>0.66100000000000003</v>
      </c>
      <c r="L33" s="346">
        <f>SUMIF('A-2 On-Site Habitat Creation'!$F$11:$F$256,'G-2 Habitat groups'!A33,'A-2 On-Site Habitat Creation'!$Y$11:$Y$256)</f>
        <v>4.4251501687728005</v>
      </c>
      <c r="M33" s="346">
        <f>SUMIF('A-3 On-Site Habitat Enhancement'!$S$12:$S$257,'G-2 Habitat groups'!A33,'A-3 On-Site Habitat Enhancement'!$V$12:$V$257)</f>
        <v>0</v>
      </c>
      <c r="N33" s="346">
        <f>SUMIF('A-3 On-Site Habitat Enhancement'!$S$12:$S$257,'G-2 Habitat groups'!A33,'A-3 On-Site Habitat Enhancement'!$AN$12:$AN$257)</f>
        <v>0</v>
      </c>
      <c r="O33" s="346">
        <f t="shared" si="0"/>
        <v>0.66100000000000003</v>
      </c>
      <c r="P33" s="346">
        <f t="shared" si="1"/>
        <v>4.4251501687728005</v>
      </c>
      <c r="Q33" s="346">
        <f t="shared" si="2"/>
        <v>0.63800000000000001</v>
      </c>
      <c r="R33" s="346">
        <f t="shared" si="3"/>
        <v>4.2411501687728004</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0.63800000000000001</v>
      </c>
      <c r="AF33" s="346">
        <f t="shared" si="15"/>
        <v>4.2411501687728004</v>
      </c>
      <c r="AJ33" s="84" t="s">
        <v>136</v>
      </c>
      <c r="AK33" s="549">
        <f t="shared" si="27"/>
        <v>0</v>
      </c>
      <c r="AL33" s="549">
        <f t="shared" si="28"/>
        <v>0</v>
      </c>
      <c r="AM33" s="549">
        <f t="shared" si="29"/>
        <v>0</v>
      </c>
      <c r="AN33" s="549">
        <f t="shared" si="30"/>
        <v>0</v>
      </c>
      <c r="AO33" s="651">
        <f t="shared" si="31"/>
        <v>0</v>
      </c>
      <c r="AP33" s="651">
        <f t="shared" si="32"/>
        <v>0</v>
      </c>
      <c r="AU33" s="86" t="s">
        <v>548</v>
      </c>
      <c r="AV33" s="68" t="s">
        <v>125</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x14ac:dyDescent="0.25">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138</v>
      </c>
      <c r="AK34" s="549">
        <f>SUMIF($B:$B,$AJ34,S:S)</f>
        <v>0</v>
      </c>
      <c r="AL34" s="549">
        <f t="shared" si="28"/>
        <v>0</v>
      </c>
      <c r="AM34" s="549">
        <f t="shared" si="29"/>
        <v>0</v>
      </c>
      <c r="AN34" s="549">
        <f t="shared" si="30"/>
        <v>0</v>
      </c>
      <c r="AO34" s="549">
        <f t="shared" si="31"/>
        <v>0</v>
      </c>
      <c r="AP34" s="549">
        <f t="shared" si="32"/>
        <v>0</v>
      </c>
      <c r="AU34" s="86" t="s">
        <v>557</v>
      </c>
      <c r="AV34" s="68" t="s">
        <v>125</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x14ac:dyDescent="0.25">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137</v>
      </c>
      <c r="AK35" s="549">
        <f t="shared" si="27"/>
        <v>0</v>
      </c>
      <c r="AL35" s="549">
        <f t="shared" si="28"/>
        <v>0</v>
      </c>
      <c r="AM35" s="549">
        <f t="shared" si="29"/>
        <v>0</v>
      </c>
      <c r="AN35" s="549">
        <f t="shared" si="30"/>
        <v>0</v>
      </c>
      <c r="AO35" s="549">
        <f t="shared" si="31"/>
        <v>0</v>
      </c>
      <c r="AP35" s="549">
        <f t="shared" si="32"/>
        <v>0</v>
      </c>
      <c r="AU35" s="86" t="s">
        <v>986</v>
      </c>
      <c r="AV35" s="68" t="s">
        <v>126</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x14ac:dyDescent="0.25">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597</v>
      </c>
      <c r="AV36" s="68" t="s">
        <v>126</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x14ac:dyDescent="0.25">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609</v>
      </c>
      <c r="AV37" s="68" t="s">
        <v>126</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x14ac:dyDescent="0.25">
      <c r="A38" s="79" t="s">
        <v>606</v>
      </c>
      <c r="B38" s="68" t="s">
        <v>126</v>
      </c>
      <c r="C38" s="68" t="s">
        <v>70</v>
      </c>
      <c r="D38" s="68" t="s">
        <v>215</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x14ac:dyDescent="0.25">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621</v>
      </c>
      <c r="AV39" s="68" t="s">
        <v>127</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x14ac:dyDescent="0.25">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624</v>
      </c>
      <c r="AV40" s="68" t="s">
        <v>127</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x14ac:dyDescent="0.25">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627</v>
      </c>
      <c r="AV41" s="68" t="s">
        <v>127</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x14ac:dyDescent="0.25">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630</v>
      </c>
      <c r="AV42" s="68" t="s">
        <v>127</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x14ac:dyDescent="0.25">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633</v>
      </c>
      <c r="AV43" s="68" t="s">
        <v>127</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x14ac:dyDescent="0.25">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636</v>
      </c>
      <c r="AV44" s="68" t="s">
        <v>127</v>
      </c>
      <c r="AW44" s="358">
        <f t="shared" si="33"/>
        <v>0</v>
      </c>
      <c r="AX44" s="358">
        <f t="shared" si="34"/>
        <v>0</v>
      </c>
      <c r="AY44" s="358">
        <f t="shared" si="35"/>
        <v>0</v>
      </c>
      <c r="AZ44" s="358">
        <f t="shared" si="36"/>
        <v>0</v>
      </c>
      <c r="BA44" s="358">
        <f t="shared" si="37"/>
        <v>0</v>
      </c>
      <c r="BB44" s="358">
        <f t="shared" si="38"/>
        <v>0</v>
      </c>
      <c r="BC44" s="358">
        <f t="shared" si="39"/>
        <v>0</v>
      </c>
      <c r="BD44" s="358">
        <f t="shared" si="40"/>
        <v>0</v>
      </c>
      <c r="BE44" s="358">
        <f t="shared" si="41"/>
        <v>0</v>
      </c>
      <c r="BF44" s="358" t="str">
        <f t="shared" si="42"/>
        <v/>
      </c>
    </row>
    <row r="45" spans="1:58" x14ac:dyDescent="0.25">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645</v>
      </c>
      <c r="AV45" s="68" t="s">
        <v>127</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x14ac:dyDescent="0.25">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653</v>
      </c>
      <c r="AV46" s="68" t="s">
        <v>128</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x14ac:dyDescent="0.25">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v>
      </c>
      <c r="F47" s="346">
        <f>SUMIF('A-1 On-Site Habitat Baseline'!$G$11:$G$258,'G-2 Habitat groups'!A47,'A-1 On-Site Habitat Baseline'!$Q$11:$Q$258)</f>
        <v>0</v>
      </c>
      <c r="G47" s="346">
        <f>SUMIF('A-1 On-Site Habitat Baseline'!$G$11:$G$258,'G-2 Habitat groups'!A47,'A-1 On-Site Habitat Baseline'!$S$11:$S$258)</f>
        <v>0</v>
      </c>
      <c r="H47" s="346">
        <f>SUMIF('A-1 On-Site Habitat Baseline'!$G$11:$G$258,'G-2 Habitat groups'!A47,'A-1 On-Site Habitat Baseline'!$U$11:$U$258)</f>
        <v>0</v>
      </c>
      <c r="I47" s="346">
        <f>SUMIF('A-1 On-Site Habitat Baseline'!$G$11:$G$258,'G-2 Habitat groups'!A47,'A-1 On-Site Habitat Baseline'!$W$11:$W$258)</f>
        <v>0</v>
      </c>
      <c r="J47" s="346">
        <f>SUMIF('A-1 On-Site Habitat Baseline'!$G$11:$G$258,'G-2 Habitat groups'!A47,'A-1 On-Site Habitat Baseline'!$X$11:$X$258)</f>
        <v>0</v>
      </c>
      <c r="K47" s="346">
        <f>SUMIF('A-2 On-Site Habitat Creation'!$F$11:$F$256,'G-2 Habitat groups'!A47,'A-2 On-Site Habitat Creation'!$G$11:$G$256)</f>
        <v>0</v>
      </c>
      <c r="L47" s="346">
        <f>SUMIF('A-2 On-Site Habitat Creation'!$F$11:$F$256,'G-2 Habitat groups'!A47,'A-2 On-Site Habitat Creation'!$Y$11:$Y$256)</f>
        <v>0</v>
      </c>
      <c r="M47" s="346">
        <f>SUMIF('A-3 On-Site Habitat Enhancement'!$S$12:$S$257,'G-2 Habitat groups'!A47,'A-3 On-Site Habitat Enhancement'!$V$12:$V$257)</f>
        <v>0</v>
      </c>
      <c r="N47" s="346">
        <f>SUMIF('A-3 On-Site Habitat Enhancement'!$S$12:$S$257,'G-2 Habitat groups'!A47,'A-3 On-Site Habitat Enhancement'!$AN$12:$AN$257)</f>
        <v>0</v>
      </c>
      <c r="O47" s="346">
        <f t="shared" si="43"/>
        <v>0</v>
      </c>
      <c r="P47" s="346">
        <f t="shared" si="44"/>
        <v>0</v>
      </c>
      <c r="Q47" s="346">
        <f t="shared" si="45"/>
        <v>0</v>
      </c>
      <c r="R47" s="346">
        <f t="shared" si="46"/>
        <v>0</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v>
      </c>
      <c r="AF47" s="346">
        <f t="shared" si="52"/>
        <v>0</v>
      </c>
      <c r="AU47" s="86" t="s">
        <v>657</v>
      </c>
      <c r="AV47" s="68" t="s">
        <v>128</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x14ac:dyDescent="0.25">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666</v>
      </c>
      <c r="AV48" s="68" t="s">
        <v>128</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x14ac:dyDescent="0.25">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674</v>
      </c>
      <c r="AV49" s="68" t="s">
        <v>128</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x14ac:dyDescent="0.25">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715</v>
      </c>
      <c r="AV50" s="68" t="s">
        <v>129</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x14ac:dyDescent="0.25">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773</v>
      </c>
      <c r="AV51" s="68" t="s">
        <v>130</v>
      </c>
      <c r="AW51" s="358">
        <f t="shared" si="33"/>
        <v>0</v>
      </c>
      <c r="AX51" s="358">
        <f t="shared" si="34"/>
        <v>0</v>
      </c>
      <c r="AY51" s="358">
        <f t="shared" si="35"/>
        <v>0</v>
      </c>
      <c r="AZ51" s="358">
        <f t="shared" si="36"/>
        <v>0</v>
      </c>
      <c r="BA51" s="358">
        <f t="shared" si="37"/>
        <v>0</v>
      </c>
      <c r="BB51" s="358">
        <f t="shared" si="38"/>
        <v>0</v>
      </c>
      <c r="BC51" s="358">
        <f t="shared" si="39"/>
        <v>0</v>
      </c>
      <c r="BD51" s="358">
        <f t="shared" si="40"/>
        <v>0</v>
      </c>
      <c r="BE51" s="358">
        <f t="shared" si="41"/>
        <v>0</v>
      </c>
      <c r="BF51" s="358" t="str">
        <f t="shared" si="42"/>
        <v/>
      </c>
    </row>
    <row r="52" spans="1:58" x14ac:dyDescent="0.25">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779</v>
      </c>
      <c r="AV52" s="68" t="s">
        <v>131</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x14ac:dyDescent="0.25">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782</v>
      </c>
      <c r="AV53" s="68" t="s">
        <v>131</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x14ac:dyDescent="0.25">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786</v>
      </c>
      <c r="AV54" s="68" t="s">
        <v>131</v>
      </c>
      <c r="AW54" s="358">
        <f t="shared" si="33"/>
        <v>0</v>
      </c>
      <c r="AX54" s="358">
        <f t="shared" si="34"/>
        <v>0</v>
      </c>
      <c r="AY54" s="358">
        <f t="shared" si="35"/>
        <v>0</v>
      </c>
      <c r="AZ54" s="358">
        <f t="shared" si="36"/>
        <v>0</v>
      </c>
      <c r="BA54" s="358">
        <f t="shared" si="37"/>
        <v>0</v>
      </c>
      <c r="BB54" s="358">
        <f t="shared" si="38"/>
        <v>0</v>
      </c>
      <c r="BC54" s="358">
        <f t="shared" si="39"/>
        <v>0</v>
      </c>
      <c r="BD54" s="358">
        <f t="shared" si="40"/>
        <v>0</v>
      </c>
      <c r="BE54" s="358">
        <f t="shared" si="41"/>
        <v>0</v>
      </c>
      <c r="BF54" s="358" t="str">
        <f t="shared" si="42"/>
        <v/>
      </c>
    </row>
    <row r="55" spans="1:58" x14ac:dyDescent="0.25">
      <c r="A55" s="79" t="s">
        <v>664</v>
      </c>
      <c r="B55" s="68" t="str">
        <f>'G-1 All Habitats'!F54</f>
        <v>Sparsely vegetated land</v>
      </c>
      <c r="C55" s="68" t="s">
        <v>216</v>
      </c>
      <c r="D55" s="68" t="s">
        <v>217</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0</v>
      </c>
      <c r="F55" s="346">
        <f>SUMIF('A-1 On-Site Habitat Baseline'!$G$11:$G$258,'G-2 Habitat groups'!A55,'A-1 On-Site Habitat Baseline'!$Q$11:$Q$258)</f>
        <v>0</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0</v>
      </c>
      <c r="J55" s="346">
        <f>SUMIF('A-1 On-Site Habitat Baseline'!$G$11:$G$258,'G-2 Habitat groups'!A55,'A-1 On-Site Habitat Baseline'!$X$11:$X$258)</f>
        <v>0</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0</v>
      </c>
      <c r="R55" s="346">
        <f t="shared" si="46"/>
        <v>0</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0</v>
      </c>
      <c r="AF55" s="346">
        <f t="shared" si="52"/>
        <v>0</v>
      </c>
      <c r="AU55" s="86"/>
      <c r="AV55" s="68"/>
      <c r="AW55" s="358"/>
      <c r="AX55" s="358"/>
      <c r="AY55" s="358"/>
      <c r="AZ55" s="358"/>
      <c r="BA55" s="358"/>
      <c r="BB55" s="358"/>
      <c r="BC55" s="358"/>
      <c r="BD55" s="358"/>
      <c r="BE55" s="358"/>
      <c r="BF55" s="358"/>
    </row>
    <row r="56" spans="1:58" x14ac:dyDescent="0.25">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789</v>
      </c>
      <c r="AV56" s="68" t="s">
        <v>131</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x14ac:dyDescent="0.25">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807</v>
      </c>
      <c r="AV57" s="68" t="s">
        <v>131</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x14ac:dyDescent="0.25">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810</v>
      </c>
      <c r="AV58" s="68" t="s">
        <v>131</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x14ac:dyDescent="0.25">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813</v>
      </c>
      <c r="AV59" s="68" t="s">
        <v>131</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x14ac:dyDescent="0.25">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0</v>
      </c>
      <c r="L60" s="346">
        <f>SUMIF('A-2 On-Site Habitat Creation'!$F$11:$F$256,'G-2 Habitat groups'!A60,'A-2 On-Site Habitat Creation'!$Y$11:$Y$256)</f>
        <v>0</v>
      </c>
      <c r="M60" s="346">
        <f>SUMIF('A-3 On-Site Habitat Enhancement'!$S$12:$S$257,'G-2 Habitat groups'!A60,'A-3 On-Site Habitat Enhancement'!$V$12:$V$257)</f>
        <v>0</v>
      </c>
      <c r="N60" s="346">
        <f>SUMIF('A-3 On-Site Habitat Enhancement'!$S$12:$S$257,'G-2 Habitat groups'!A60,'A-3 On-Site Habitat Enhancement'!$AN$12:$AN$257)</f>
        <v>0</v>
      </c>
      <c r="O60" s="346">
        <f t="shared" si="43"/>
        <v>0</v>
      </c>
      <c r="P60" s="346">
        <f t="shared" si="44"/>
        <v>0</v>
      </c>
      <c r="Q60" s="346">
        <f t="shared" si="45"/>
        <v>0</v>
      </c>
      <c r="R60" s="346">
        <f t="shared" si="46"/>
        <v>0</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0</v>
      </c>
      <c r="AF60" s="346">
        <f t="shared" si="52"/>
        <v>0</v>
      </c>
      <c r="AU60" s="86" t="s">
        <v>818</v>
      </c>
      <c r="AV60" s="68" t="s">
        <v>131</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x14ac:dyDescent="0.25">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0.14799999999999999</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0.14799999999999999</v>
      </c>
      <c r="J61" s="346">
        <f>SUMIF('A-1 On-Site Habitat Baseline'!$G$11:$G$258,'G-2 Habitat groups'!A61,'A-1 On-Site Habitat Baseline'!$X$11:$X$258)</f>
        <v>0</v>
      </c>
      <c r="K61" s="346">
        <f>SUMIF('A-2 On-Site Habitat Creation'!$F$11:$F$256,'G-2 Habitat groups'!A61,'A-2 On-Site Habitat Creation'!$G$11:$G$256)</f>
        <v>0</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0</v>
      </c>
      <c r="P61" s="346">
        <f t="shared" si="44"/>
        <v>0</v>
      </c>
      <c r="Q61" s="346">
        <f t="shared" si="45"/>
        <v>-0.14799999999999999</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-0.14799999999999999</v>
      </c>
      <c r="AF61" s="346">
        <f t="shared" si="52"/>
        <v>0</v>
      </c>
      <c r="AU61" s="86" t="s">
        <v>822</v>
      </c>
      <c r="AV61" s="68" t="s">
        <v>135</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x14ac:dyDescent="0.25">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v>
      </c>
      <c r="L62" s="346">
        <f>SUMIF('A-2 On-Site Habitat Creation'!$F$11:$F$256,'G-2 Habitat groups'!A62,'A-2 On-Site Habitat Creation'!$Y$11:$Y$256)</f>
        <v>0</v>
      </c>
      <c r="M62" s="346">
        <f>SUMIF('A-3 On-Site Habitat Enhancement'!$S$12:$S$257,'G-2 Habitat groups'!A62,'A-3 On-Site Habitat Enhancement'!$V$12:$V$257)</f>
        <v>0</v>
      </c>
      <c r="N62" s="346">
        <f>SUMIF('A-3 On-Site Habitat Enhancement'!$S$12:$S$257,'G-2 Habitat groups'!A62,'A-3 On-Site Habitat Enhancement'!$AN$12:$AN$257)</f>
        <v>0</v>
      </c>
      <c r="O62" s="346">
        <f t="shared" si="43"/>
        <v>0</v>
      </c>
      <c r="P62" s="346">
        <f t="shared" si="44"/>
        <v>0</v>
      </c>
      <c r="Q62" s="346">
        <f t="shared" si="45"/>
        <v>0</v>
      </c>
      <c r="R62" s="346">
        <f t="shared" si="46"/>
        <v>0</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v>
      </c>
      <c r="AF62" s="346">
        <f t="shared" si="52"/>
        <v>0</v>
      </c>
      <c r="AU62" s="68" t="s">
        <v>827</v>
      </c>
      <c r="AV62" s="68" t="s">
        <v>984</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x14ac:dyDescent="0.25">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835</v>
      </c>
      <c r="AV63" s="68" t="s">
        <v>984</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x14ac:dyDescent="0.25">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0.06</v>
      </c>
      <c r="F64" s="346">
        <f>SUMIF('A-1 On-Site Habitat Baseline'!$G$11:$G$258,'G-2 Habitat groups'!A64,'A-1 On-Site Habitat Baseline'!$Q$11:$Q$258)</f>
        <v>0</v>
      </c>
      <c r="G64" s="346">
        <f>SUMIF('A-1 On-Site Habitat Baseline'!$G$11:$G$258,'G-2 Habitat groups'!A64,'A-1 On-Site Habitat Baseline'!$S$11:$S$258)</f>
        <v>0.06</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0.06</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842</v>
      </c>
      <c r="AV64" s="68" t="s">
        <v>984</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x14ac:dyDescent="0.25">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849</v>
      </c>
      <c r="AV65" s="68" t="s">
        <v>984</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x14ac:dyDescent="0.25">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0.30500000000000005</v>
      </c>
      <c r="F66" s="346">
        <f>SUMIF('A-1 On-Site Habitat Baseline'!$G$11:$G$258,'G-2 Habitat groups'!A66,'A-1 On-Site Habitat Baseline'!$Q$11:$Q$258)</f>
        <v>0</v>
      </c>
      <c r="G66" s="346">
        <f>SUMIF('A-1 On-Site Habitat Baseline'!$G$11:$G$258,'G-2 Habitat groups'!A66,'A-1 On-Site Habitat Baseline'!$S$11:$S$258)</f>
        <v>0</v>
      </c>
      <c r="H66" s="346">
        <f>SUMIF('A-1 On-Site Habitat Baseline'!$G$11:$G$258,'G-2 Habitat groups'!A66,'A-1 On-Site Habitat Baseline'!$U$11:$U$258)</f>
        <v>0</v>
      </c>
      <c r="I66" s="346">
        <f>SUMIF('A-1 On-Site Habitat Baseline'!$G$11:$G$258,'G-2 Habitat groups'!A66,'A-1 On-Site Habitat Baseline'!$W$11:$W$258)</f>
        <v>0.30500000000000005</v>
      </c>
      <c r="J66" s="346">
        <f>SUMIF('A-1 On-Site Habitat Baseline'!$G$11:$G$258,'G-2 Habitat groups'!A66,'A-1 On-Site Habitat Baseline'!$X$11:$X$258)</f>
        <v>0</v>
      </c>
      <c r="K66" s="346">
        <f>SUMIF('A-2 On-Site Habitat Creation'!$F$11:$F$256,'G-2 Habitat groups'!A66,'A-2 On-Site Habitat Creation'!$G$11:$G$256)</f>
        <v>1.3179999999999998</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1.3179999999999998</v>
      </c>
      <c r="P66" s="346">
        <f t="shared" si="44"/>
        <v>0</v>
      </c>
      <c r="Q66" s="346">
        <f t="shared" si="45"/>
        <v>1.0129999999999999</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1.0129999999999999</v>
      </c>
      <c r="AF66" s="346">
        <f t="shared" si="52"/>
        <v>0</v>
      </c>
      <c r="AU66" s="68" t="s">
        <v>867</v>
      </c>
      <c r="AV66" s="68" t="s">
        <v>132</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x14ac:dyDescent="0.25">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870</v>
      </c>
      <c r="AV67" s="68" t="s">
        <v>132</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x14ac:dyDescent="0.25">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856</v>
      </c>
      <c r="AV68" s="68" t="s">
        <v>987</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x14ac:dyDescent="0.25">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880</v>
      </c>
      <c r="AV69" s="68" t="s">
        <v>132</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x14ac:dyDescent="0.25">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884</v>
      </c>
      <c r="AV70" s="68" t="s">
        <v>132</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x14ac:dyDescent="0.25">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887</v>
      </c>
      <c r="AV71" s="68" t="s">
        <v>132</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x14ac:dyDescent="0.25">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v>
      </c>
      <c r="L72" s="346">
        <f>SUMIF('A-2 On-Site Habitat Creation'!$F$11:$F$256,'G-2 Habitat groups'!A72,'A-2 On-Site Habitat Creation'!$Y$11:$Y$256)</f>
        <v>0</v>
      </c>
      <c r="M72" s="346">
        <f>SUMIF('A-3 On-Site Habitat Enhancement'!$S$12:$S$257,'G-2 Habitat groups'!A72,'A-3 On-Site Habitat Enhancement'!$V$12:$V$257)</f>
        <v>0</v>
      </c>
      <c r="N72" s="346">
        <f>SUMIF('A-3 On-Site Habitat Enhancement'!$S$12:$S$257,'G-2 Habitat groups'!A72,'A-3 On-Site Habitat Enhancement'!$AN$12:$AN$257)</f>
        <v>0</v>
      </c>
      <c r="O72" s="346">
        <f t="shared" si="53"/>
        <v>0</v>
      </c>
      <c r="P72" s="346">
        <f t="shared" si="54"/>
        <v>0</v>
      </c>
      <c r="Q72" s="346">
        <f t="shared" si="55"/>
        <v>0</v>
      </c>
      <c r="R72" s="346">
        <f t="shared" si="56"/>
        <v>0</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v>
      </c>
      <c r="AF72" s="346">
        <f t="shared" si="62"/>
        <v>0</v>
      </c>
      <c r="AU72" s="80" t="s">
        <v>914</v>
      </c>
      <c r="AV72" s="68" t="s">
        <v>132</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x14ac:dyDescent="0.25">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230</v>
      </c>
      <c r="AV73" s="650" t="s">
        <v>132</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x14ac:dyDescent="0.25">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x14ac:dyDescent="0.25">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x14ac:dyDescent="0.25">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0</v>
      </c>
      <c r="L76" s="346">
        <f>SUMIF('A-2 On-Site Habitat Creation'!$F$11:$F$256,'G-2 Habitat groups'!A76,'A-2 On-Site Habitat Creation'!$Y$11:$Y$256)</f>
        <v>0</v>
      </c>
      <c r="M76" s="346">
        <f>SUMIF('A-3 On-Site Habitat Enhancement'!$S$12:$S$257,'G-2 Habitat groups'!A76,'A-3 On-Site Habitat Enhancement'!$V$12:$V$257)</f>
        <v>0</v>
      </c>
      <c r="N76" s="346">
        <f>SUMIF('A-3 On-Site Habitat Enhancement'!$S$12:$S$257,'G-2 Habitat groups'!A76,'A-3 On-Site Habitat Enhancement'!$AN$12:$AN$257)</f>
        <v>0</v>
      </c>
      <c r="O76" s="346">
        <f t="shared" si="53"/>
        <v>0</v>
      </c>
      <c r="P76" s="346">
        <f t="shared" si="54"/>
        <v>0</v>
      </c>
      <c r="Q76" s="346">
        <f t="shared" si="55"/>
        <v>0</v>
      </c>
      <c r="R76" s="346">
        <f t="shared" si="56"/>
        <v>0</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0</v>
      </c>
      <c r="AF76" s="346">
        <f t="shared" si="62"/>
        <v>0</v>
      </c>
    </row>
    <row r="77" spans="1:59" ht="35.4" x14ac:dyDescent="0.6">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0</v>
      </c>
      <c r="L77" s="346">
        <f>SUMIF('A-2 On-Site Habitat Creation'!$F$11:$F$256,'G-2 Habitat groups'!A77,'A-2 On-Site Habitat Creation'!$Y$11:$Y$256)</f>
        <v>0</v>
      </c>
      <c r="M77" s="346">
        <f>SUMIF('A-3 On-Site Habitat Enhancement'!$S$12:$S$257,'G-2 Habitat groups'!A77,'A-3 On-Site Habitat Enhancement'!$V$12:$V$257)</f>
        <v>0</v>
      </c>
      <c r="N77" s="346">
        <f>SUMIF('A-3 On-Site Habitat Enhancement'!$S$12:$S$257,'G-2 Habitat groups'!A77,'A-3 On-Site Habitat Enhancement'!$AN$12:$AN$257)</f>
        <v>0</v>
      </c>
      <c r="O77" s="346">
        <f t="shared" si="53"/>
        <v>0</v>
      </c>
      <c r="P77" s="346">
        <f t="shared" si="54"/>
        <v>0</v>
      </c>
      <c r="Q77" s="346">
        <f t="shared" si="55"/>
        <v>0</v>
      </c>
      <c r="R77" s="346">
        <f t="shared" si="56"/>
        <v>0</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0</v>
      </c>
      <c r="AF77" s="346">
        <f t="shared" si="62"/>
        <v>0</v>
      </c>
      <c r="AU77" s="283" t="s">
        <v>70</v>
      </c>
      <c r="AV77" s="76"/>
      <c r="AW77" s="76"/>
      <c r="AX77" s="76"/>
      <c r="AY77" s="76"/>
      <c r="AZ77" s="76"/>
      <c r="BA77" s="76"/>
      <c r="BB77" s="76"/>
      <c r="BC77" s="76"/>
      <c r="BD77" s="76"/>
      <c r="BE77" s="76"/>
      <c r="BF77" s="76"/>
      <c r="BG77" s="92"/>
    </row>
    <row r="78" spans="1:59" ht="33.75" customHeight="1" x14ac:dyDescent="0.3">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968</v>
      </c>
      <c r="AV78" s="97" t="s">
        <v>220</v>
      </c>
      <c r="AW78" s="98" t="s">
        <v>969</v>
      </c>
      <c r="AX78" s="98" t="s">
        <v>970</v>
      </c>
      <c r="AY78" s="98" t="s">
        <v>971</v>
      </c>
      <c r="AZ78" s="98" t="s">
        <v>972</v>
      </c>
      <c r="BA78" s="98" t="s">
        <v>973</v>
      </c>
      <c r="BB78" s="98" t="s">
        <v>974</v>
      </c>
      <c r="BC78" s="98" t="s">
        <v>975</v>
      </c>
      <c r="BD78" s="97" t="s">
        <v>976</v>
      </c>
      <c r="BE78" s="98" t="s">
        <v>977</v>
      </c>
      <c r="BF78" s="98" t="s">
        <v>988</v>
      </c>
      <c r="BG78" s="93"/>
    </row>
    <row r="79" spans="1:59" x14ac:dyDescent="0.25">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462</v>
      </c>
      <c r="AV79" s="68" t="s">
        <v>124</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x14ac:dyDescent="0.25">
      <c r="A80" s="79" t="s">
        <v>735</v>
      </c>
      <c r="B80" s="68" t="s">
        <v>129</v>
      </c>
      <c r="C80" s="68" t="s">
        <v>216</v>
      </c>
      <c r="D80" s="68" t="s">
        <v>217</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744</v>
      </c>
      <c r="AV80" s="68" t="s">
        <v>138</v>
      </c>
      <c r="AW80" s="358">
        <f>VLOOKUP($AU80,AllHabsSummaryData,5,FALSE)</f>
        <v>0</v>
      </c>
      <c r="AX80" s="358">
        <f>VLOOKUP($AU80,AllHabsSummaryData,10,FALSE)</f>
        <v>0</v>
      </c>
      <c r="AY80" s="358">
        <f>VLOOKUP($AU80,AllHabsSummaryData,15,FALSE)</f>
        <v>0</v>
      </c>
      <c r="AZ80" s="358">
        <f>VLOOKUP($AU80,AllHabsSummaryData,16,FALSE)</f>
        <v>0</v>
      </c>
      <c r="BA80" s="358">
        <f>VLOOKUP($AU80,AllHabsSummaryData,17,FALSE)</f>
        <v>0</v>
      </c>
      <c r="BB80" s="358">
        <f>VLOOKUP($AU80,AllHabsSummaryData,18,FALSE)</f>
        <v>0</v>
      </c>
      <c r="BC80" s="358">
        <f>VLOOKUP($AU80,AllHabsSummaryData,27,FALSE)</f>
        <v>0</v>
      </c>
      <c r="BD80" s="358">
        <f>VLOOKUP($AU80,AllHabsSummaryData,30,FALSE)</f>
        <v>0</v>
      </c>
      <c r="BE80" s="358">
        <f>BB80+BD80</f>
        <v>0</v>
      </c>
      <c r="BF80" s="358" t="str">
        <f>IF(BE80&lt;0,BE80,"")</f>
        <v/>
      </c>
    </row>
    <row r="81" spans="1:58" x14ac:dyDescent="0.25">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0</v>
      </c>
      <c r="L81" s="346">
        <f>SUMIF('A-2 On-Site Habitat Creation'!$F$11:$F$256,'G-2 Habitat groups'!A81,'A-2 On-Site Habitat Creation'!$Y$11:$Y$256)</f>
        <v>0</v>
      </c>
      <c r="M81" s="346">
        <f>SUMIF('A-3 On-Site Habitat Enhancement'!$S$12:$S$257,'G-2 Habitat groups'!A81,'A-3 On-Site Habitat Enhancement'!$V$12:$V$257)</f>
        <v>0</v>
      </c>
      <c r="N81" s="346">
        <f>SUMIF('A-3 On-Site Habitat Enhancement'!$S$12:$S$257,'G-2 Habitat groups'!A81,'A-3 On-Site Habitat Enhancement'!$AN$12:$AN$257)</f>
        <v>0</v>
      </c>
      <c r="O81" s="346">
        <f t="shared" si="53"/>
        <v>0</v>
      </c>
      <c r="P81" s="346">
        <f t="shared" si="54"/>
        <v>0</v>
      </c>
      <c r="Q81" s="346">
        <f t="shared" si="55"/>
        <v>0</v>
      </c>
      <c r="R81" s="346">
        <f t="shared" si="56"/>
        <v>0</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0</v>
      </c>
      <c r="AF81" s="346">
        <f t="shared" si="62"/>
        <v>0</v>
      </c>
      <c r="AU81" s="79" t="s">
        <v>470</v>
      </c>
      <c r="AV81" s="68" t="s">
        <v>124</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x14ac:dyDescent="0.25">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474</v>
      </c>
      <c r="AV82" s="68" t="s">
        <v>124</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x14ac:dyDescent="0.25">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478</v>
      </c>
      <c r="AV83" s="68" t="s">
        <v>124</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x14ac:dyDescent="0.25">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542</v>
      </c>
      <c r="AV84" s="68" t="s">
        <v>125</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x14ac:dyDescent="0.25">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545</v>
      </c>
      <c r="AV85" s="68" t="s">
        <v>125</v>
      </c>
      <c r="AW85" s="358">
        <f t="shared" si="63"/>
        <v>0.34</v>
      </c>
      <c r="AX85" s="358">
        <f t="shared" si="64"/>
        <v>0</v>
      </c>
      <c r="AY85" s="358">
        <f t="shared" si="65"/>
        <v>9.8690000000000015</v>
      </c>
      <c r="AZ85" s="358">
        <f t="shared" si="66"/>
        <v>66.513125504139211</v>
      </c>
      <c r="BA85" s="358">
        <f t="shared" si="67"/>
        <v>9.5290000000000017</v>
      </c>
      <c r="BB85" s="358">
        <f t="shared" si="68"/>
        <v>63.793125504139212</v>
      </c>
      <c r="BC85" s="358">
        <f t="shared" si="69"/>
        <v>0</v>
      </c>
      <c r="BD85" s="358">
        <f t="shared" si="70"/>
        <v>0</v>
      </c>
      <c r="BE85" s="358">
        <f t="shared" si="71"/>
        <v>63.793125504139212</v>
      </c>
      <c r="BF85" s="358" t="str">
        <f t="shared" si="72"/>
        <v/>
      </c>
    </row>
    <row r="86" spans="1:58" x14ac:dyDescent="0.25">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554</v>
      </c>
      <c r="AV86" s="68" t="s">
        <v>125</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x14ac:dyDescent="0.25">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563</v>
      </c>
      <c r="AV87" s="68" t="s">
        <v>126</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x14ac:dyDescent="0.25">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0</v>
      </c>
      <c r="L88" s="346">
        <f>SUMIF('A-2 On-Site Habitat Creation'!$F$11:$F$256,'G-2 Habitat groups'!A88,'A-2 On-Site Habitat Creation'!$Y$11:$Y$256)</f>
        <v>0</v>
      </c>
      <c r="M88" s="346">
        <f>SUMIF('A-3 On-Site Habitat Enhancement'!$S$12:$S$257,'G-2 Habitat groups'!A88,'A-3 On-Site Habitat Enhancement'!$V$12:$V$257)</f>
        <v>0</v>
      </c>
      <c r="N88" s="346">
        <f>SUMIF('A-3 On-Site Habitat Enhancement'!$S$12:$S$257,'G-2 Habitat groups'!A88,'A-3 On-Site Habitat Enhancement'!$AN$12:$AN$257)</f>
        <v>0</v>
      </c>
      <c r="O88" s="346">
        <f t="shared" si="53"/>
        <v>0</v>
      </c>
      <c r="P88" s="346">
        <f t="shared" si="54"/>
        <v>0</v>
      </c>
      <c r="Q88" s="346">
        <f t="shared" si="55"/>
        <v>0</v>
      </c>
      <c r="R88" s="346">
        <f t="shared" si="56"/>
        <v>0</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0</v>
      </c>
      <c r="AF88" s="346">
        <f t="shared" si="62"/>
        <v>0</v>
      </c>
      <c r="AU88" s="79" t="s">
        <v>568</v>
      </c>
      <c r="AV88" s="68" t="s">
        <v>126</v>
      </c>
      <c r="AW88" s="358">
        <f t="shared" si="63"/>
        <v>0</v>
      </c>
      <c r="AX88" s="358">
        <f t="shared" si="64"/>
        <v>0</v>
      </c>
      <c r="AY88" s="358">
        <f t="shared" si="65"/>
        <v>0</v>
      </c>
      <c r="AZ88" s="358">
        <f t="shared" si="66"/>
        <v>0</v>
      </c>
      <c r="BA88" s="358">
        <f t="shared" si="67"/>
        <v>0</v>
      </c>
      <c r="BB88" s="358">
        <f t="shared" si="68"/>
        <v>0</v>
      </c>
      <c r="BC88" s="358">
        <f t="shared" si="69"/>
        <v>0</v>
      </c>
      <c r="BD88" s="358">
        <f t="shared" si="70"/>
        <v>0</v>
      </c>
      <c r="BE88" s="358">
        <f t="shared" si="71"/>
        <v>0</v>
      </c>
      <c r="BF88" s="358" t="str">
        <f t="shared" si="72"/>
        <v/>
      </c>
    </row>
    <row r="89" spans="1:58" x14ac:dyDescent="0.25">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571</v>
      </c>
      <c r="AV89" s="68" t="s">
        <v>126</v>
      </c>
      <c r="AW89" s="358">
        <f t="shared" si="63"/>
        <v>0</v>
      </c>
      <c r="AX89" s="358">
        <f t="shared" si="64"/>
        <v>0</v>
      </c>
      <c r="AY89" s="358">
        <f t="shared" si="65"/>
        <v>0</v>
      </c>
      <c r="AZ89" s="358">
        <f t="shared" si="66"/>
        <v>0</v>
      </c>
      <c r="BA89" s="358">
        <f t="shared" si="67"/>
        <v>0</v>
      </c>
      <c r="BB89" s="358">
        <f t="shared" si="68"/>
        <v>0</v>
      </c>
      <c r="BC89" s="358">
        <f t="shared" si="69"/>
        <v>0</v>
      </c>
      <c r="BD89" s="358">
        <f t="shared" si="70"/>
        <v>0</v>
      </c>
      <c r="BE89" s="358">
        <f t="shared" si="71"/>
        <v>0</v>
      </c>
      <c r="BF89" s="358" t="str">
        <f t="shared" si="72"/>
        <v/>
      </c>
    </row>
    <row r="90" spans="1:58" x14ac:dyDescent="0.25">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574</v>
      </c>
      <c r="AV90" s="68" t="s">
        <v>126</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x14ac:dyDescent="0.25">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577</v>
      </c>
      <c r="AV91" s="68" t="s">
        <v>126</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x14ac:dyDescent="0.25">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0</v>
      </c>
      <c r="F92" s="346">
        <f>SUMIF('A-1 On-Site Habitat Baseline'!$G$11:$G$258,'G-2 Habitat groups'!A92,'A-1 On-Site Habitat Baseline'!$Q$11:$Q$258)</f>
        <v>0</v>
      </c>
      <c r="G92" s="346">
        <f>SUMIF('A-1 On-Site Habitat Baseline'!$G$11:$G$258,'G-2 Habitat groups'!A92,'A-1 On-Site Habitat Baseline'!$S$11:$S$258)</f>
        <v>0</v>
      </c>
      <c r="H92" s="346">
        <f>SUMIF('A-1 On-Site Habitat Baseline'!$G$11:$G$258,'G-2 Habitat groups'!A92,'A-1 On-Site Habitat Baseline'!$U$11:$U$258)</f>
        <v>0</v>
      </c>
      <c r="I92" s="346">
        <f>SUMIF('A-1 On-Site Habitat Baseline'!$G$11:$G$258,'G-2 Habitat groups'!A92,'A-1 On-Site Habitat Baseline'!$W$11:$W$258)</f>
        <v>0</v>
      </c>
      <c r="J92" s="346">
        <f>SUMIF('A-1 On-Site Habitat Baseline'!$G$11:$G$258,'G-2 Habitat groups'!A92,'A-1 On-Site Habitat Baseline'!$X$11:$X$258)</f>
        <v>0</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0</v>
      </c>
      <c r="P92" s="346">
        <f t="shared" si="54"/>
        <v>0</v>
      </c>
      <c r="Q92" s="346">
        <f t="shared" si="55"/>
        <v>0</v>
      </c>
      <c r="R92" s="346">
        <f t="shared" si="56"/>
        <v>0</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0</v>
      </c>
      <c r="AF92" s="346">
        <f t="shared" si="62"/>
        <v>0</v>
      </c>
      <c r="AU92" s="79" t="s">
        <v>587</v>
      </c>
      <c r="AV92" s="68" t="s">
        <v>126</v>
      </c>
      <c r="AW92" s="358">
        <f t="shared" si="63"/>
        <v>2.3E-2</v>
      </c>
      <c r="AX92" s="358">
        <f t="shared" si="64"/>
        <v>0.184</v>
      </c>
      <c r="AY92" s="358">
        <f t="shared" si="65"/>
        <v>0.66100000000000003</v>
      </c>
      <c r="AZ92" s="358">
        <f t="shared" si="66"/>
        <v>4.4251501687728005</v>
      </c>
      <c r="BA92" s="358">
        <f t="shared" si="67"/>
        <v>0.63800000000000001</v>
      </c>
      <c r="BB92" s="358">
        <f t="shared" si="68"/>
        <v>4.2411501687728004</v>
      </c>
      <c r="BC92" s="358">
        <f t="shared" si="69"/>
        <v>0</v>
      </c>
      <c r="BD92" s="358">
        <f t="shared" si="70"/>
        <v>0</v>
      </c>
      <c r="BE92" s="358">
        <f t="shared" si="71"/>
        <v>4.2411501687728004</v>
      </c>
      <c r="BF92" s="358" t="str">
        <f t="shared" si="72"/>
        <v/>
      </c>
    </row>
    <row r="93" spans="1:58" x14ac:dyDescent="0.25">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639</v>
      </c>
      <c r="AV93" s="68" t="s">
        <v>127</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x14ac:dyDescent="0.25">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643</v>
      </c>
      <c r="AV94" s="68" t="s">
        <v>127</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x14ac:dyDescent="0.25">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679</v>
      </c>
      <c r="AV95" s="68" t="s">
        <v>128</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x14ac:dyDescent="0.25">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0.32500000000000001</v>
      </c>
      <c r="F96" s="346">
        <f>SUMIF('A-1 On-Site Habitat Baseline'!$G$11:$G$258,'G-2 Habitat groups'!A96,'A-1 On-Site Habitat Baseline'!$Q$11:$Q$258)</f>
        <v>2.6</v>
      </c>
      <c r="G96" s="346">
        <f>SUMIF('A-1 On-Site Habitat Baseline'!$G$11:$G$258,'G-2 Habitat groups'!A96,'A-1 On-Site Habitat Baseline'!$S$11:$S$258)</f>
        <v>0.32500000000000001</v>
      </c>
      <c r="H96" s="346">
        <f>SUMIF('A-1 On-Site Habitat Baseline'!$G$11:$G$258,'G-2 Habitat groups'!A96,'A-1 On-Site Habitat Baseline'!$U$11:$U$258)</f>
        <v>2.6</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1.2610000000000001</v>
      </c>
      <c r="L96" s="346">
        <f>SUMIF('A-2 On-Site Habitat Creation'!$F$11:$F$256,'G-2 Habitat groups'!A96,'A-2 On-Site Habitat Creation'!$Y$11:$Y$256)</f>
        <v>5.9117324898840016</v>
      </c>
      <c r="M96" s="346">
        <f>SUMIF('A-3 On-Site Habitat Enhancement'!$S$12:$S$257,'G-2 Habitat groups'!A96,'A-3 On-Site Habitat Enhancement'!$V$12:$V$257)</f>
        <v>0</v>
      </c>
      <c r="N96" s="346">
        <f>SUMIF('A-3 On-Site Habitat Enhancement'!$S$12:$S$257,'G-2 Habitat groups'!A96,'A-3 On-Site Habitat Enhancement'!$AN$12:$AN$257)</f>
        <v>0</v>
      </c>
      <c r="O96" s="346">
        <f t="shared" si="53"/>
        <v>1.5860000000000001</v>
      </c>
      <c r="P96" s="346">
        <f t="shared" si="54"/>
        <v>8.5117324898840021</v>
      </c>
      <c r="Q96" s="346">
        <f t="shared" si="55"/>
        <v>1.2610000000000001</v>
      </c>
      <c r="R96" s="346">
        <f t="shared" si="56"/>
        <v>5.9117324898840025</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1.2610000000000001</v>
      </c>
      <c r="AF96" s="346">
        <f t="shared" si="62"/>
        <v>5.9117324898840025</v>
      </c>
      <c r="AU96" s="79" t="s">
        <v>695</v>
      </c>
      <c r="AV96" s="68" t="s">
        <v>129</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x14ac:dyDescent="0.25">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0</v>
      </c>
      <c r="L97" s="346">
        <f>SUMIF('A-2 On-Site Habitat Creation'!$F$11:$F$256,'G-2 Habitat groups'!A97,'A-2 On-Site Habitat Creation'!$Y$11:$Y$256)</f>
        <v>0</v>
      </c>
      <c r="M97" s="346">
        <f>SUMIF('A-3 On-Site Habitat Enhancement'!$S$12:$S$257,'G-2 Habitat groups'!A97,'A-3 On-Site Habitat Enhancement'!$V$12:$V$257)</f>
        <v>0</v>
      </c>
      <c r="N97" s="346">
        <f>SUMIF('A-3 On-Site Habitat Enhancement'!$S$12:$S$257,'G-2 Habitat groups'!A97,'A-3 On-Site Habitat Enhancement'!$AN$12:$AN$257)</f>
        <v>0</v>
      </c>
      <c r="O97" s="346">
        <f t="shared" si="53"/>
        <v>0</v>
      </c>
      <c r="P97" s="346">
        <f t="shared" si="54"/>
        <v>0</v>
      </c>
      <c r="Q97" s="346">
        <f t="shared" si="55"/>
        <v>0</v>
      </c>
      <c r="R97" s="346">
        <f t="shared" si="56"/>
        <v>0</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0</v>
      </c>
      <c r="AF97" s="346">
        <f t="shared" si="62"/>
        <v>0</v>
      </c>
      <c r="AU97" s="79" t="s">
        <v>710</v>
      </c>
      <c r="AV97" s="68" t="s">
        <v>129</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x14ac:dyDescent="0.25">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797</v>
      </c>
      <c r="AV98" s="68" t="s">
        <v>131</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x14ac:dyDescent="0.25">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801</v>
      </c>
      <c r="AV99" s="68" t="s">
        <v>131</v>
      </c>
      <c r="AW99" s="358">
        <f t="shared" si="63"/>
        <v>0.32500000000000001</v>
      </c>
      <c r="AX99" s="358">
        <f t="shared" si="64"/>
        <v>0</v>
      </c>
      <c r="AY99" s="358">
        <f t="shared" si="65"/>
        <v>1.5860000000000001</v>
      </c>
      <c r="AZ99" s="358">
        <f t="shared" si="66"/>
        <v>8.5117324898840021</v>
      </c>
      <c r="BA99" s="358">
        <f t="shared" si="67"/>
        <v>1.2610000000000001</v>
      </c>
      <c r="BB99" s="358">
        <f t="shared" si="68"/>
        <v>5.9117324898840025</v>
      </c>
      <c r="BC99" s="358">
        <f t="shared" si="69"/>
        <v>0</v>
      </c>
      <c r="BD99" s="358">
        <f t="shared" si="70"/>
        <v>0</v>
      </c>
      <c r="BE99" s="358">
        <f t="shared" si="73"/>
        <v>5.9117324898840025</v>
      </c>
      <c r="BF99" s="358" t="str">
        <f t="shared" si="74"/>
        <v/>
      </c>
    </row>
    <row r="100" spans="1:59" x14ac:dyDescent="0.25">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804</v>
      </c>
      <c r="AV100" s="68" t="s">
        <v>131</v>
      </c>
      <c r="AW100" s="358">
        <f t="shared" si="63"/>
        <v>0</v>
      </c>
      <c r="AX100" s="358">
        <f t="shared" si="64"/>
        <v>0</v>
      </c>
      <c r="AY100" s="358">
        <f t="shared" si="65"/>
        <v>0</v>
      </c>
      <c r="AZ100" s="358">
        <f t="shared" si="66"/>
        <v>0</v>
      </c>
      <c r="BA100" s="358">
        <f t="shared" si="67"/>
        <v>0</v>
      </c>
      <c r="BB100" s="358">
        <f t="shared" si="68"/>
        <v>0</v>
      </c>
      <c r="BC100" s="358">
        <f t="shared" si="69"/>
        <v>0</v>
      </c>
      <c r="BD100" s="358">
        <f t="shared" si="70"/>
        <v>0</v>
      </c>
      <c r="BE100" s="358">
        <f t="shared" si="73"/>
        <v>0</v>
      </c>
      <c r="BF100" s="358" t="str">
        <f t="shared" si="74"/>
        <v/>
      </c>
    </row>
    <row r="101" spans="1:59" x14ac:dyDescent="0.25">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864</v>
      </c>
      <c r="AV101" s="68" t="s">
        <v>132</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x14ac:dyDescent="0.25">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911</v>
      </c>
      <c r="AV102" s="68" t="s">
        <v>132</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27.6" x14ac:dyDescent="0.25">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923</v>
      </c>
      <c r="AV103" s="264" t="s">
        <v>136</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x14ac:dyDescent="0.25">
      <c r="A104" s="79" t="str">
        <f>'G-1 All Habitats'!B104</f>
        <v>Rocky shore - High energy littoral rock</v>
      </c>
      <c r="B104" s="68" t="str">
        <f>'G-1 All Habitats'!F104</f>
        <v>Rocky shore</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606</v>
      </c>
      <c r="AV104" s="68" t="s">
        <v>126</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x14ac:dyDescent="0.25">
      <c r="A105" s="79" t="str">
        <f>'G-1 All Habitats'!B105</f>
        <v>Rocky shore - High energy littoral rock - on peat, clay or chalk</v>
      </c>
      <c r="B105" s="68" t="str">
        <f>'G-1 All Habitats'!F105</f>
        <v>Rocky shore</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740</v>
      </c>
      <c r="AV105" s="68" t="s">
        <v>138</v>
      </c>
      <c r="AW105" s="439">
        <f>VLOOKUP($AU105,AllHabsSummaryData,5,FALSE)</f>
        <v>0</v>
      </c>
      <c r="AX105" s="439">
        <f>VLOOKUP($AU105,AllHabsSummaryData,10,FALSE)</f>
        <v>0</v>
      </c>
      <c r="AY105" s="439">
        <f>VLOOKUP($AU105,AllHabsSummaryData,15,FALSE)</f>
        <v>0</v>
      </c>
      <c r="AZ105" s="439">
        <f>VLOOKUP($AU105,AllHabsSummaryData,16,FALSE)</f>
        <v>0</v>
      </c>
      <c r="BA105" s="439">
        <f>VLOOKUP($AU105,AllHabsSummaryData,17,FALSE)</f>
        <v>0</v>
      </c>
      <c r="BB105" s="439">
        <f>VLOOKUP($AU105,AllHabsSummaryData,18,FALSE)</f>
        <v>0</v>
      </c>
      <c r="BC105" s="439">
        <f>VLOOKUP($AU105,AllHabsSummaryData,27,FALSE)</f>
        <v>0</v>
      </c>
      <c r="BD105" s="439">
        <f>VLOOKUP($AU105,AllHabsSummaryData,30,FALSE)</f>
        <v>0</v>
      </c>
      <c r="BE105" s="439">
        <f t="shared" ref="BE105" si="85">BB105+BD105</f>
        <v>0</v>
      </c>
      <c r="BF105" s="439" t="str">
        <f t="shared" ref="BF105" si="86">IF(BE105&lt;0,BE105,"")</f>
        <v/>
      </c>
    </row>
    <row r="106" spans="1:59" x14ac:dyDescent="0.25">
      <c r="A106" s="79" t="str">
        <f>'G-1 All Habitats'!B106</f>
        <v>Rocky shore - Moderate energy littoral rock</v>
      </c>
      <c r="B106" s="68" t="str">
        <f>'G-1 All Habitats'!F106</f>
        <v>Rocky shore</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x14ac:dyDescent="0.25">
      <c r="A107" s="79" t="str">
        <f>'G-1 All Habitats'!B107</f>
        <v>Rocky shore - Moderate energy littoral rock - on peat, clay or chalk</v>
      </c>
      <c r="B107" s="68" t="str">
        <f>'G-1 All Habitats'!F107</f>
        <v>Rocky shore</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x14ac:dyDescent="0.25">
      <c r="A108" s="79" t="str">
        <f>'G-1 All Habitats'!B108</f>
        <v>Rocky shore - Low energy littoral rock</v>
      </c>
      <c r="B108" s="68" t="str">
        <f>'G-1 All Habitats'!F108</f>
        <v>Rocky shore</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x14ac:dyDescent="0.25">
      <c r="A109" s="79" t="str">
        <f>'G-1 All Habitats'!B109</f>
        <v>Rocky shore - Low energy littoral rock - on peat, clay or chalk</v>
      </c>
      <c r="B109" s="68" t="str">
        <f>'G-1 All Habitats'!F109</f>
        <v>Rocky shore</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x14ac:dyDescent="0.25">
      <c r="A110" s="79" t="str">
        <f>'G-1 All Habitats'!B110</f>
        <v>Rocky shore - Features of littoral rock</v>
      </c>
      <c r="B110" s="68" t="str">
        <f>'G-1 All Habitats'!F110</f>
        <v>Rocky shore</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5.4" x14ac:dyDescent="0.6">
      <c r="A111" s="79" t="str">
        <f>'G-1 All Habitats'!B111</f>
        <v>Rocky shore - Features of littoral rock - on peat, clay or chalk</v>
      </c>
      <c r="B111" s="68" t="str">
        <f>'G-1 All Habitats'!F111</f>
        <v>Rocky shore</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216</v>
      </c>
    </row>
    <row r="112" spans="1:59" ht="33" customHeight="1" x14ac:dyDescent="0.3">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968</v>
      </c>
      <c r="AV112" s="97" t="s">
        <v>220</v>
      </c>
      <c r="AW112" s="98" t="s">
        <v>969</v>
      </c>
      <c r="AX112" s="98" t="s">
        <v>970</v>
      </c>
      <c r="AY112" s="98" t="s">
        <v>971</v>
      </c>
      <c r="AZ112" s="98" t="s">
        <v>972</v>
      </c>
      <c r="BA112" s="98" t="s">
        <v>973</v>
      </c>
      <c r="BB112" s="98" t="s">
        <v>974</v>
      </c>
      <c r="BC112" s="98" t="s">
        <v>975</v>
      </c>
      <c r="BD112" s="98" t="s">
        <v>976</v>
      </c>
      <c r="BE112" s="98" t="s">
        <v>977</v>
      </c>
      <c r="BF112" s="98" t="s">
        <v>988</v>
      </c>
      <c r="BG112" s="31"/>
    </row>
    <row r="113" spans="1:58" x14ac:dyDescent="0.25">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484</v>
      </c>
      <c r="AV113" s="68" t="s">
        <v>124</v>
      </c>
      <c r="AW113" s="358">
        <f t="shared" ref="AW113:AW121" si="87">VLOOKUP($AU113,AllHabsSummaryData,5,FALSE)</f>
        <v>0.58299999999999996</v>
      </c>
      <c r="AX113" s="358">
        <f>VLOOKUP($AU113,AllHabsSummaryData,10,FALSE)</f>
        <v>1.048</v>
      </c>
      <c r="AY113" s="358">
        <f>VLOOKUP($AU113,AllHabsSummaryData,15,FALSE)</f>
        <v>0.17499999999999999</v>
      </c>
      <c r="AZ113" s="358">
        <f>VLOOKUP($AU113,AllHabsSummaryData,16,FALSE)</f>
        <v>0.34187999999999996</v>
      </c>
      <c r="BA113" s="358">
        <f>VLOOKUP($AU113,AllHabsSummaryData,17,FALSE)</f>
        <v>-0.40799999999999997</v>
      </c>
      <c r="BB113" s="358">
        <f>VLOOKUP($AU113,AllHabsSummaryData,18,FALSE)</f>
        <v>-0.82411999999999996</v>
      </c>
      <c r="BC113" s="358">
        <f>VLOOKUP($AU113,AllHabsSummaryData,27,FALSE)</f>
        <v>0</v>
      </c>
      <c r="BD113" s="358">
        <f>VLOOKUP($AU113,AllHabsSummaryData,30,FALSE)</f>
        <v>0</v>
      </c>
      <c r="BE113" s="358">
        <f t="shared" ref="BE113:BE151" si="88">BB113+BD113</f>
        <v>-0.82411999999999996</v>
      </c>
      <c r="BF113" s="358">
        <f t="shared" ref="BF113:BF151" si="89">IF(BE113&lt;0,BE113,"")</f>
        <v>-0.82411999999999996</v>
      </c>
    </row>
    <row r="114" spans="1:58" x14ac:dyDescent="0.25">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494</v>
      </c>
      <c r="AV114" s="68" t="s">
        <v>124</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x14ac:dyDescent="0.25">
      <c r="A115" s="79" t="str">
        <f>'G-1 All Habitats'!B112</f>
        <v>Coastal saltmarsh - Saltmarshes and saline reedbeds</v>
      </c>
      <c r="B115" s="68" t="str">
        <f>'G-1 All Habitats'!F112</f>
        <v>Coastal saltmarsh</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498</v>
      </c>
      <c r="AV115" s="68" t="s">
        <v>124</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x14ac:dyDescent="0.25">
      <c r="A116" s="79" t="str">
        <f>'G-1 All Habitats'!B113</f>
        <v>Coastal saltmarsh - Artificial saltmarshes and saline reedbeds</v>
      </c>
      <c r="B116" s="68" t="str">
        <f>'G-1 All Habitats'!F113</f>
        <v>Coastal saltmarsh</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502</v>
      </c>
      <c r="AV116" s="68" t="s">
        <v>124</v>
      </c>
      <c r="AW116" s="358">
        <f t="shared" si="87"/>
        <v>15.690000000000001</v>
      </c>
      <c r="AX116" s="358">
        <f t="shared" si="90"/>
        <v>31.380000000000003</v>
      </c>
      <c r="AY116" s="358">
        <f t="shared" si="91"/>
        <v>0</v>
      </c>
      <c r="AZ116" s="358">
        <f t="shared" si="92"/>
        <v>0</v>
      </c>
      <c r="BA116" s="358">
        <f t="shared" si="93"/>
        <v>-15.690000000000001</v>
      </c>
      <c r="BB116" s="358">
        <f t="shared" si="94"/>
        <v>-31.380000000000003</v>
      </c>
      <c r="BC116" s="358">
        <f t="shared" si="95"/>
        <v>0</v>
      </c>
      <c r="BD116" s="358">
        <f t="shared" si="96"/>
        <v>0</v>
      </c>
      <c r="BE116" s="358">
        <f t="shared" si="88"/>
        <v>-31.380000000000003</v>
      </c>
      <c r="BF116" s="358">
        <f t="shared" si="89"/>
        <v>-31.380000000000003</v>
      </c>
    </row>
    <row r="117" spans="1:58" x14ac:dyDescent="0.25">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506</v>
      </c>
      <c r="AV117" s="68" t="s">
        <v>124</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x14ac:dyDescent="0.25">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490</v>
      </c>
      <c r="AV118" s="68" t="s">
        <v>124</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x14ac:dyDescent="0.25">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538</v>
      </c>
      <c r="AV119" s="68" t="s">
        <v>125</v>
      </c>
      <c r="AW119" s="358">
        <f t="shared" si="87"/>
        <v>29.248000000000001</v>
      </c>
      <c r="AX119" s="358">
        <f t="shared" si="90"/>
        <v>58.496000000000002</v>
      </c>
      <c r="AY119" s="358">
        <f t="shared" si="91"/>
        <v>33.053000000000004</v>
      </c>
      <c r="AZ119" s="358">
        <f t="shared" si="92"/>
        <v>114.6516022393272</v>
      </c>
      <c r="BA119" s="358">
        <f t="shared" si="93"/>
        <v>3.8050000000000033</v>
      </c>
      <c r="BB119" s="358">
        <f t="shared" si="94"/>
        <v>56.155602239327202</v>
      </c>
      <c r="BC119" s="358">
        <f t="shared" si="95"/>
        <v>0</v>
      </c>
      <c r="BD119" s="358">
        <f t="shared" si="96"/>
        <v>0</v>
      </c>
      <c r="BE119" s="358">
        <f t="shared" si="88"/>
        <v>56.155602239327202</v>
      </c>
      <c r="BF119" s="358" t="str">
        <f t="shared" si="89"/>
        <v/>
      </c>
    </row>
    <row r="120" spans="1:58" x14ac:dyDescent="0.25">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511</v>
      </c>
      <c r="AV120" s="68" t="s">
        <v>125</v>
      </c>
      <c r="AW120" s="358">
        <f t="shared" si="87"/>
        <v>7.2999999999999995E-2</v>
      </c>
      <c r="AX120" s="358">
        <f t="shared" si="90"/>
        <v>0</v>
      </c>
      <c r="AY120" s="358">
        <f t="shared" si="91"/>
        <v>7.2999999999999995E-2</v>
      </c>
      <c r="AZ120" s="358">
        <f t="shared" si="92"/>
        <v>0.14599999999999999</v>
      </c>
      <c r="BA120" s="358">
        <f t="shared" si="93"/>
        <v>0</v>
      </c>
      <c r="BB120" s="358">
        <f t="shared" si="94"/>
        <v>0</v>
      </c>
      <c r="BC120" s="358">
        <f t="shared" si="95"/>
        <v>0</v>
      </c>
      <c r="BD120" s="358">
        <f t="shared" si="96"/>
        <v>0</v>
      </c>
      <c r="BE120" s="358">
        <f t="shared" si="88"/>
        <v>0</v>
      </c>
      <c r="BF120" s="358" t="str">
        <f t="shared" si="89"/>
        <v/>
      </c>
    </row>
    <row r="121" spans="1:58" x14ac:dyDescent="0.25">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594</v>
      </c>
      <c r="AV121" s="68" t="s">
        <v>126</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x14ac:dyDescent="0.25">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618</v>
      </c>
      <c r="AV122" s="68" t="s">
        <v>127</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x14ac:dyDescent="0.25">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989</v>
      </c>
      <c r="AV123" s="68" t="s">
        <v>128</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x14ac:dyDescent="0.25">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687</v>
      </c>
      <c r="AV124" s="68" t="s">
        <v>129</v>
      </c>
      <c r="AW124" s="358">
        <f t="shared" ref="AW124:AW151" si="97">VLOOKUP($AU124,AllHabsSummaryData,5,FALSE)</f>
        <v>0</v>
      </c>
      <c r="AX124" s="358">
        <f t="shared" si="90"/>
        <v>0</v>
      </c>
      <c r="AY124" s="358">
        <f t="shared" si="91"/>
        <v>0</v>
      </c>
      <c r="AZ124" s="358">
        <f t="shared" si="92"/>
        <v>0</v>
      </c>
      <c r="BA124" s="358">
        <f t="shared" si="93"/>
        <v>0</v>
      </c>
      <c r="BB124" s="358">
        <f t="shared" si="94"/>
        <v>0</v>
      </c>
      <c r="BC124" s="358">
        <f t="shared" si="95"/>
        <v>0</v>
      </c>
      <c r="BD124" s="358">
        <f t="shared" si="96"/>
        <v>0</v>
      </c>
      <c r="BE124" s="358">
        <f t="shared" si="88"/>
        <v>0</v>
      </c>
      <c r="BF124" s="358" t="str">
        <f t="shared" si="89"/>
        <v/>
      </c>
    </row>
    <row r="125" spans="1:58" x14ac:dyDescent="0.25">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682</v>
      </c>
      <c r="AV125" s="68" t="s">
        <v>129</v>
      </c>
      <c r="AW125" s="358">
        <f t="shared" si="97"/>
        <v>0</v>
      </c>
      <c r="AX125" s="358">
        <f t="shared" si="90"/>
        <v>0</v>
      </c>
      <c r="AY125" s="358">
        <f t="shared" si="91"/>
        <v>0</v>
      </c>
      <c r="AZ125" s="358">
        <f t="shared" si="92"/>
        <v>0</v>
      </c>
      <c r="BA125" s="358">
        <f t="shared" si="93"/>
        <v>0</v>
      </c>
      <c r="BB125" s="358">
        <f t="shared" si="94"/>
        <v>0</v>
      </c>
      <c r="BC125" s="358">
        <f t="shared" si="95"/>
        <v>0</v>
      </c>
      <c r="BD125" s="358">
        <f t="shared" si="96"/>
        <v>0</v>
      </c>
      <c r="BE125" s="358">
        <f t="shared" si="88"/>
        <v>0</v>
      </c>
      <c r="BF125" s="358" t="str">
        <f t="shared" si="89"/>
        <v/>
      </c>
    </row>
    <row r="126" spans="1:58" x14ac:dyDescent="0.25">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703</v>
      </c>
      <c r="AV126" s="68" t="s">
        <v>129</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x14ac:dyDescent="0.25">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706</v>
      </c>
      <c r="AV127" s="68" t="s">
        <v>129</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x14ac:dyDescent="0.25">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708</v>
      </c>
      <c r="AV128" s="68" t="s">
        <v>129</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x14ac:dyDescent="0.25">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700</v>
      </c>
      <c r="AV129" s="68" t="s">
        <v>129</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x14ac:dyDescent="0.25">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713</v>
      </c>
      <c r="AV130" s="68" t="s">
        <v>129</v>
      </c>
      <c r="AW130" s="358">
        <f t="shared" si="97"/>
        <v>0</v>
      </c>
      <c r="AX130" s="358">
        <f t="shared" si="90"/>
        <v>0</v>
      </c>
      <c r="AY130" s="358">
        <f t="shared" si="91"/>
        <v>0</v>
      </c>
      <c r="AZ130" s="358">
        <f t="shared" si="92"/>
        <v>0</v>
      </c>
      <c r="BA130" s="358">
        <f t="shared" si="93"/>
        <v>0</v>
      </c>
      <c r="BB130" s="358">
        <f t="shared" si="94"/>
        <v>0</v>
      </c>
      <c r="BC130" s="358">
        <f t="shared" si="95"/>
        <v>0</v>
      </c>
      <c r="BD130" s="358">
        <f t="shared" si="96"/>
        <v>0</v>
      </c>
      <c r="BE130" s="358">
        <f t="shared" si="88"/>
        <v>0</v>
      </c>
      <c r="BF130" s="358" t="str">
        <f t="shared" si="89"/>
        <v/>
      </c>
    </row>
    <row r="131" spans="1:58" x14ac:dyDescent="0.25">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721</v>
      </c>
      <c r="AV131" s="68" t="s">
        <v>129</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x14ac:dyDescent="0.25">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723</v>
      </c>
      <c r="AV132" s="68" t="s">
        <v>129</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x14ac:dyDescent="0.25">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x14ac:dyDescent="0.25">
      <c r="A134" s="79" t="s">
        <v>926</v>
      </c>
      <c r="B134" s="68" t="str">
        <f>'G-1 All Habitats'!F134</f>
        <v>Watercourse footprint</v>
      </c>
      <c r="C134" s="68" t="s">
        <v>486</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735</v>
      </c>
      <c r="AV134" s="68" t="s">
        <v>129</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x14ac:dyDescent="0.25">
      <c r="A135" s="79" t="s">
        <v>744</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0</v>
      </c>
      <c r="F135" s="346">
        <f>SUMIF('A-1 On-Site Habitat Baseline'!$G$11:$G$258,'G-2 Habitat groups'!A135,'A-1 On-Site Habitat Baseline'!$Q$11:$Q$258)</f>
        <v>0</v>
      </c>
      <c r="G135" s="346">
        <f>SUMIF('A-1 On-Site Habitat Baseline'!$G$11:$G$258,'G-2 Habitat groups'!A135,'A-1 On-Site Habitat Baseline'!$S$11:$S$258)</f>
        <v>0</v>
      </c>
      <c r="H135" s="346">
        <f>SUMIF('A-1 On-Site Habitat Baseline'!$G$11:$G$258,'G-2 Habitat groups'!A135,'A-1 On-Site Habitat Baseline'!$U$11:$U$258)</f>
        <v>0</v>
      </c>
      <c r="I135" s="346">
        <f>SUMIF('A-1 On-Site Habitat Baseline'!$G$11:$G$258,'G-2 Habitat groups'!A135,'A-1 On-Site Habitat Baseline'!$W$11:$W$258)</f>
        <v>0</v>
      </c>
      <c r="J135" s="346">
        <f>SUMIF('A-1 On-Site Habitat Baseline'!$G$11:$G$258,'G-2 Habitat groups'!A135,'A-1 On-Site Habitat Baseline'!$X$11:$X$258)</f>
        <v>0</v>
      </c>
      <c r="K135" s="346">
        <f>SUMIF('A-2 On-Site Habitat Creation'!$F$11:$F$256,'G-2 Habitat groups'!A135,'A-2 On-Site Habitat Creation'!$G$11:$G$256)</f>
        <v>0</v>
      </c>
      <c r="L135" s="346">
        <f>SUMIF('A-2 On-Site Habitat Creation'!$F$11:$F$256,'G-2 Habitat groups'!A135,'A-2 On-Site Habitat Creation'!$Y$11:$Y$256)</f>
        <v>0</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0</v>
      </c>
      <c r="P135" s="346">
        <f t="shared" ref="P135:P140" si="99">H135+L135+N135</f>
        <v>0</v>
      </c>
      <c r="Q135" s="346">
        <f t="shared" ref="Q135:Q140" si="100">O135-E135</f>
        <v>0</v>
      </c>
      <c r="R135" s="346">
        <f t="shared" ref="R135:R140" si="101">P135-F135</f>
        <v>0</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0</v>
      </c>
      <c r="AF135" s="346">
        <f t="shared" ref="AF135:AF140" si="105">R135+AD135</f>
        <v>0</v>
      </c>
      <c r="AU135" s="79" t="s">
        <v>726</v>
      </c>
      <c r="AV135" s="68" t="s">
        <v>129</v>
      </c>
      <c r="AW135" s="358">
        <f t="shared" si="97"/>
        <v>0</v>
      </c>
      <c r="AX135" s="358">
        <f t="shared" si="90"/>
        <v>0</v>
      </c>
      <c r="AY135" s="358">
        <f t="shared" si="91"/>
        <v>0</v>
      </c>
      <c r="AZ135" s="358">
        <f t="shared" si="92"/>
        <v>0</v>
      </c>
      <c r="BA135" s="358">
        <f t="shared" si="93"/>
        <v>0</v>
      </c>
      <c r="BB135" s="358">
        <f t="shared" si="94"/>
        <v>0</v>
      </c>
      <c r="BC135" s="358">
        <f t="shared" si="95"/>
        <v>0</v>
      </c>
      <c r="BD135" s="358">
        <f t="shared" si="96"/>
        <v>0</v>
      </c>
      <c r="BE135" s="358">
        <f t="shared" si="88"/>
        <v>0</v>
      </c>
      <c r="BF135" s="358" t="str">
        <f t="shared" si="89"/>
        <v/>
      </c>
    </row>
    <row r="136" spans="1:58" x14ac:dyDescent="0.25">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732</v>
      </c>
      <c r="AV136" s="68" t="s">
        <v>129</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x14ac:dyDescent="0.25">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738</v>
      </c>
      <c r="AV137" s="68" t="s">
        <v>129</v>
      </c>
      <c r="AW137" s="358">
        <f t="shared" si="97"/>
        <v>0</v>
      </c>
      <c r="AX137" s="358">
        <f t="shared" si="90"/>
        <v>0</v>
      </c>
      <c r="AY137" s="358">
        <f t="shared" si="91"/>
        <v>0</v>
      </c>
      <c r="AZ137" s="358">
        <f t="shared" si="92"/>
        <v>0</v>
      </c>
      <c r="BA137" s="358">
        <f t="shared" si="93"/>
        <v>0</v>
      </c>
      <c r="BB137" s="358">
        <f t="shared" si="94"/>
        <v>0</v>
      </c>
      <c r="BC137" s="358">
        <f t="shared" si="95"/>
        <v>0</v>
      </c>
      <c r="BD137" s="358">
        <f t="shared" si="96"/>
        <v>0</v>
      </c>
      <c r="BE137" s="358">
        <f t="shared" si="88"/>
        <v>0</v>
      </c>
      <c r="BF137" s="358" t="str">
        <f t="shared" si="89"/>
        <v/>
      </c>
    </row>
    <row r="138" spans="1:58" x14ac:dyDescent="0.25">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794</v>
      </c>
      <c r="AV138" s="68" t="s">
        <v>131</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x14ac:dyDescent="0.25">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861</v>
      </c>
      <c r="AV139" s="91" t="s">
        <v>133</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x14ac:dyDescent="0.25">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890</v>
      </c>
      <c r="AV140" s="68" t="s">
        <v>132</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x14ac:dyDescent="0.25">
      <c r="AU141" s="79" t="s">
        <v>893</v>
      </c>
      <c r="AV141" s="68" t="s">
        <v>132</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x14ac:dyDescent="0.25">
      <c r="AU142" s="79" t="s">
        <v>896</v>
      </c>
      <c r="AV142" s="68" t="s">
        <v>132</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x14ac:dyDescent="0.25">
      <c r="AU143" s="79" t="s">
        <v>899</v>
      </c>
      <c r="AV143" s="68" t="s">
        <v>132</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x14ac:dyDescent="0.25">
      <c r="AU144" s="79" t="s">
        <v>902</v>
      </c>
      <c r="AV144" s="68" t="s">
        <v>132</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6" x14ac:dyDescent="0.45">
      <c r="A145" s="262" t="s">
        <v>158</v>
      </c>
      <c r="AU145" s="79" t="s">
        <v>905</v>
      </c>
      <c r="AV145" s="68" t="s">
        <v>132</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x14ac:dyDescent="0.25">
      <c r="AU146" s="79" t="s">
        <v>908</v>
      </c>
      <c r="AV146" s="68" t="s">
        <v>132</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x14ac:dyDescent="0.25">
      <c r="AU147" s="100" t="s">
        <v>917</v>
      </c>
      <c r="AV147" s="91" t="s">
        <v>136</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2.8" x14ac:dyDescent="0.4">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920</v>
      </c>
      <c r="AV148" s="91" t="s">
        <v>136</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69" x14ac:dyDescent="0.25">
      <c r="A149" s="78" t="s">
        <v>990</v>
      </c>
      <c r="B149" s="78" t="s">
        <v>220</v>
      </c>
      <c r="C149" s="78" t="s">
        <v>991</v>
      </c>
      <c r="D149" s="78" t="s">
        <v>934</v>
      </c>
      <c r="E149" s="78" t="s">
        <v>992</v>
      </c>
      <c r="F149" s="78" t="s">
        <v>936</v>
      </c>
      <c r="G149" s="78" t="s">
        <v>993</v>
      </c>
      <c r="H149" s="78" t="s">
        <v>994</v>
      </c>
      <c r="I149" s="78" t="s">
        <v>995</v>
      </c>
      <c r="J149" s="78" t="s">
        <v>940</v>
      </c>
      <c r="K149" s="78" t="s">
        <v>996</v>
      </c>
      <c r="L149" s="78" t="s">
        <v>942</v>
      </c>
      <c r="M149" s="78" t="s">
        <v>997</v>
      </c>
      <c r="N149" s="78" t="s">
        <v>944</v>
      </c>
      <c r="O149" s="78" t="s">
        <v>998</v>
      </c>
      <c r="P149" s="78" t="s">
        <v>946</v>
      </c>
      <c r="Q149" s="78" t="s">
        <v>999</v>
      </c>
      <c r="R149" s="78" t="s">
        <v>948</v>
      </c>
      <c r="S149" s="78" t="s">
        <v>1000</v>
      </c>
      <c r="T149" s="78" t="s">
        <v>950</v>
      </c>
      <c r="U149" s="78" t="s">
        <v>1001</v>
      </c>
      <c r="V149" s="78" t="s">
        <v>952</v>
      </c>
      <c r="W149" s="78" t="s">
        <v>1002</v>
      </c>
      <c r="X149" s="78" t="s">
        <v>954</v>
      </c>
      <c r="Y149" s="78" t="s">
        <v>1003</v>
      </c>
      <c r="Z149" s="78" t="s">
        <v>1004</v>
      </c>
      <c r="AA149" s="78" t="s">
        <v>1005</v>
      </c>
      <c r="AB149" s="78" t="s">
        <v>958</v>
      </c>
      <c r="AC149" s="78" t="s">
        <v>1006</v>
      </c>
      <c r="AD149" s="78" t="s">
        <v>960</v>
      </c>
      <c r="AE149" s="78" t="s">
        <v>1007</v>
      </c>
      <c r="AF149" s="78" t="s">
        <v>962</v>
      </c>
      <c r="AU149" s="263" t="s">
        <v>602</v>
      </c>
      <c r="AV149" s="264" t="s">
        <v>126</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x14ac:dyDescent="0.25">
      <c r="A150" s="79" t="str">
        <f>'G-6 Hedgerow Data'!B3</f>
        <v>Species-rich native hedgerow with trees - associated with bank or ditch</v>
      </c>
      <c r="B150" s="68" t="s">
        <v>1008</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439">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689</v>
      </c>
      <c r="AV150" s="264" t="s">
        <v>129</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x14ac:dyDescent="0.25">
      <c r="A151" s="79" t="str">
        <f>'G-6 Hedgerow Data'!B4</f>
        <v>Species-rich native hedgerow with trees</v>
      </c>
      <c r="B151" s="68" t="s">
        <v>1008</v>
      </c>
      <c r="C151" s="68" t="str">
        <f>'G-6 Hedgerow Data'!C4</f>
        <v>High</v>
      </c>
      <c r="D151" s="68" t="str">
        <f>'G-6 Hedgerow Data'!AH4</f>
        <v>Like for like or better</v>
      </c>
      <c r="E151" s="358">
        <f>SUMIF('B-1 On-Site Hedge Baseline'!$D$10:$D$257,'G-2 Habitat groups'!A151,'B-1 On-Site Hedge Baseline'!$E$10:$E$257)</f>
        <v>0</v>
      </c>
      <c r="F151" s="358">
        <f>SUMIF('B-1 On-Site Hedge Baseline'!$D$10:$D$257,'G-2 Habitat groups'!A151,'B-1 On-Site Hedge Baseline'!$N$10:$N$257)</f>
        <v>0</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v>
      </c>
      <c r="J151" s="439">
        <f>SUMIF('B-1 On-Site Hedge Baseline'!$D$10:$D$257,'G-2 Habitat groups'!A151,'B-1 On-Site Hedge Baseline'!$U$10:$U$257)</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v>
      </c>
      <c r="N151" s="358">
        <f>SUMIF('B-3 On-Site Hedge Enhancement'!$M$12:$M$257,'G-2 Habitat groups'!A151,'B-3 On-Site Hedge Enhancement'!$AH$12:$AH$257)</f>
        <v>0</v>
      </c>
      <c r="O151" s="358">
        <f t="shared" si="107"/>
        <v>0</v>
      </c>
      <c r="P151" s="358">
        <f t="shared" si="108"/>
        <v>0</v>
      </c>
      <c r="Q151" s="358">
        <f t="shared" si="109"/>
        <v>0</v>
      </c>
      <c r="R151" s="358">
        <f t="shared" si="110"/>
        <v>0</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v>
      </c>
      <c r="AF151" s="358">
        <f t="shared" si="114"/>
        <v>0</v>
      </c>
      <c r="AU151" s="79" t="s">
        <v>664</v>
      </c>
      <c r="AV151" s="68" t="s">
        <v>128</v>
      </c>
      <c r="AW151" s="439">
        <f t="shared" si="97"/>
        <v>0</v>
      </c>
      <c r="AX151" s="439">
        <f t="shared" si="90"/>
        <v>0</v>
      </c>
      <c r="AY151" s="439">
        <f t="shared" si="91"/>
        <v>0</v>
      </c>
      <c r="AZ151" s="439">
        <f t="shared" si="92"/>
        <v>0</v>
      </c>
      <c r="BA151" s="439">
        <f t="shared" si="93"/>
        <v>0</v>
      </c>
      <c r="BB151" s="439">
        <f t="shared" si="94"/>
        <v>0</v>
      </c>
      <c r="BC151" s="439">
        <f t="shared" si="95"/>
        <v>0</v>
      </c>
      <c r="BD151" s="439">
        <f t="shared" si="96"/>
        <v>0</v>
      </c>
      <c r="BE151" s="439">
        <f t="shared" si="88"/>
        <v>0</v>
      </c>
      <c r="BF151" s="439" t="str">
        <f t="shared" si="89"/>
        <v/>
      </c>
    </row>
    <row r="152" spans="1:59" x14ac:dyDescent="0.25">
      <c r="A152" s="79" t="str">
        <f>'G-6 Hedgerow Data'!B5</f>
        <v>Species-rich native hedgerow - associated with bank or ditch</v>
      </c>
      <c r="B152" s="68" t="s">
        <v>1008</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439">
        <f>SUMIF('B-1 On-Site Hedge Baseline'!$D$10:$D$257,'G-2 Habitat groups'!A152,'B-1 On-Site Hedge Baseline'!$U$10:$U$257)</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v>
      </c>
      <c r="N152" s="358">
        <f>SUMIF('B-3 On-Site Hedge Enhancement'!$M$12:$M$257,'G-2 Habitat groups'!A152,'B-3 On-Site Hedge Enhancement'!$AH$12:$AH$257)</f>
        <v>0</v>
      </c>
      <c r="O152" s="358">
        <f t="shared" si="107"/>
        <v>0</v>
      </c>
      <c r="P152" s="358">
        <f t="shared" si="108"/>
        <v>0</v>
      </c>
      <c r="Q152" s="358">
        <f t="shared" si="109"/>
        <v>0</v>
      </c>
      <c r="R152" s="358">
        <f t="shared" si="110"/>
        <v>0</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v>
      </c>
      <c r="AF152" s="358">
        <f t="shared" si="114"/>
        <v>0</v>
      </c>
    </row>
    <row r="153" spans="1:59" x14ac:dyDescent="0.25">
      <c r="A153" s="79" t="str">
        <f>'G-6 Hedgerow Data'!B6</f>
        <v>Native hedgerow with trees - associated with bank or ditch</v>
      </c>
      <c r="B153" s="68" t="s">
        <v>1008</v>
      </c>
      <c r="C153" s="68" t="str">
        <f>'G-6 Hedgerow Data'!C6</f>
        <v>High</v>
      </c>
      <c r="D153" s="68" t="str">
        <f>'G-6 Hedgerow Data'!AH6</f>
        <v>Like for like or better</v>
      </c>
      <c r="E153" s="358">
        <f>SUMIF('B-1 On-Site Hedge Baseline'!$D$10:$D$257,'G-2 Habitat groups'!A153,'B-1 On-Site Hedge Baseline'!$E$10:$E$257)</f>
        <v>0</v>
      </c>
      <c r="F153" s="358">
        <f>SUMIF('B-1 On-Site Hedge Baseline'!$D$10:$D$257,'G-2 Habitat groups'!A153,'B-1 On-Site Hedge Baseline'!$N$10:$N$257)</f>
        <v>0</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v>
      </c>
      <c r="J153" s="439">
        <f>SUMIF('B-1 On-Site Hedge Baseline'!$D$10:$D$257,'G-2 Habitat groups'!A153,'B-1 On-Site Hedge Baseline'!$U$10:$U$257)</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v>
      </c>
      <c r="R153" s="358">
        <f t="shared" si="110"/>
        <v>0</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v>
      </c>
      <c r="AF153" s="358">
        <f t="shared" si="114"/>
        <v>0</v>
      </c>
    </row>
    <row r="154" spans="1:59" ht="35.4" x14ac:dyDescent="0.6">
      <c r="A154" s="263" t="str">
        <f>'G-6 Hedgerow Data'!B7</f>
        <v>Species-rich native hedgerow</v>
      </c>
      <c r="B154" s="264" t="s">
        <v>1008</v>
      </c>
      <c r="C154" s="264" t="str">
        <f>'G-6 Hedgerow Data'!C7</f>
        <v>Medium</v>
      </c>
      <c r="D154" s="264" t="str">
        <f>'G-6 Hedgerow Data'!AH7</f>
        <v>Same distinctiveness band or better</v>
      </c>
      <c r="E154" s="439">
        <f>SUMIF('B-1 On-Site Hedge Baseline'!$D$10:$D$257,'G-2 Habitat groups'!A154,'B-1 On-Site Hedge Baseline'!$E$10:$E$257)</f>
        <v>0</v>
      </c>
      <c r="F154" s="439">
        <f>SUMIF('B-1 On-Site Hedge Baseline'!$D$10:$D$257,'G-2 Habitat groups'!A154,'B-1 On-Site Hedge Baseline'!$N$10:$N$257)</f>
        <v>0</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0</v>
      </c>
      <c r="J154" s="439">
        <f>SUMIF('B-1 On-Site Hedge Baseline'!$D$10:$D$257,'G-2 Habitat groups'!A154,'B-1 On-Site Hedge Baseline'!$U$10:$U$257)</f>
        <v>0</v>
      </c>
      <c r="K154" s="439">
        <f>SUMIF('B-2 On-Site Hedge Creation'!$D$12:$D$259,'G-2 Habitat groups'!A154,'B-2 On-Site Hedge Creation'!$E$12:$E$259)</f>
        <v>2.4900000000000002</v>
      </c>
      <c r="L154" s="439">
        <f>SUMIF('B-2 On-Site Hedge Creation'!$D$12:$D$259,'G-2 Habitat groups'!A154,'B-2 On-Site Hedge Creation'!$W$12:$W$259)</f>
        <v>16.669627715952004</v>
      </c>
      <c r="M154" s="439">
        <f>SUMIF('B-3 On-Site Hedge Enhancement'!$M$12:$M$257,'G-2 Habitat groups'!A154,'B-3 On-Site Hedge Enhancement'!$P$12:$P$257)</f>
        <v>0</v>
      </c>
      <c r="N154" s="439">
        <f>SUMIF('B-3 On-Site Hedge Enhancement'!$M$12:$M$257,'G-2 Habitat groups'!A154,'B-3 On-Site Hedge Enhancement'!$AH$12:$AH$257)</f>
        <v>0</v>
      </c>
      <c r="O154" s="439">
        <f t="shared" si="107"/>
        <v>2.4900000000000002</v>
      </c>
      <c r="P154" s="439">
        <f t="shared" si="108"/>
        <v>16.669627715952004</v>
      </c>
      <c r="Q154" s="439">
        <f t="shared" si="109"/>
        <v>2.4900000000000002</v>
      </c>
      <c r="R154" s="439">
        <f t="shared" si="110"/>
        <v>16.669627715952004</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2.4900000000000002</v>
      </c>
      <c r="AF154" s="439">
        <f t="shared" si="114"/>
        <v>16.669627715952004</v>
      </c>
      <c r="AU154" s="283" t="s">
        <v>1009</v>
      </c>
      <c r="AV154" s="76"/>
      <c r="AW154" s="76"/>
      <c r="AX154" s="76"/>
      <c r="AY154" s="76"/>
      <c r="AZ154" s="76"/>
      <c r="BA154" s="76"/>
      <c r="BB154" s="76"/>
      <c r="BC154" s="76"/>
      <c r="BD154" s="76"/>
      <c r="BE154" s="76"/>
      <c r="BF154" s="76"/>
      <c r="BG154" s="92"/>
    </row>
    <row r="155" spans="1:59" ht="31.2" x14ac:dyDescent="0.3">
      <c r="A155" s="263" t="str">
        <f>'G-6 Hedgerow Data'!B8</f>
        <v>Native hedgerow - associated with bank or ditch</v>
      </c>
      <c r="B155" s="264" t="s">
        <v>1008</v>
      </c>
      <c r="C155" s="264" t="str">
        <f>'G-6 Hedgerow Data'!C8</f>
        <v>Medium</v>
      </c>
      <c r="D155" s="264" t="str">
        <f>'G-6 Hedgerow Data'!AH8</f>
        <v>Same distinctiveness band or better</v>
      </c>
      <c r="E155" s="439">
        <f>SUMIF('B-1 On-Site Hedge Baseline'!$D$10:$D$257,'G-2 Habitat groups'!A155,'B-1 On-Site Hedge Baseline'!$E$10:$E$257)</f>
        <v>0</v>
      </c>
      <c r="F155" s="439">
        <f>SUMIF('B-1 On-Site Hedge Baseline'!$D$10:$D$257,'G-2 Habitat groups'!A155,'B-1 On-Site Hedge Baseline'!$N$10:$N$257)</f>
        <v>0</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v>
      </c>
      <c r="J155" s="439">
        <f>SUMIF('B-1 On-Site Hedge Baseline'!$D$10:$D$257,'G-2 Habitat groups'!A155,'B-1 On-Site Hedge Baseline'!$U$10:$U$257)</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v>
      </c>
      <c r="R155" s="439">
        <f t="shared" si="110"/>
        <v>0</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v>
      </c>
      <c r="AF155" s="439">
        <f t="shared" si="114"/>
        <v>0</v>
      </c>
      <c r="AU155" s="229" t="s">
        <v>968</v>
      </c>
      <c r="AV155" s="229" t="s">
        <v>220</v>
      </c>
      <c r="AW155" s="540" t="s">
        <v>969</v>
      </c>
      <c r="AX155" s="540" t="s">
        <v>970</v>
      </c>
      <c r="AY155" s="540" t="s">
        <v>971</v>
      </c>
      <c r="AZ155" s="540" t="s">
        <v>972</v>
      </c>
      <c r="BA155" s="540" t="s">
        <v>973</v>
      </c>
      <c r="BB155" s="540" t="s">
        <v>974</v>
      </c>
      <c r="BC155" s="540" t="s">
        <v>975</v>
      </c>
      <c r="BD155" s="98" t="s">
        <v>976</v>
      </c>
      <c r="BE155" s="540" t="s">
        <v>977</v>
      </c>
      <c r="BF155" s="98" t="s">
        <v>988</v>
      </c>
    </row>
    <row r="156" spans="1:59" x14ac:dyDescent="0.25">
      <c r="A156" s="79" t="str">
        <f>'G-6 Hedgerow Data'!B9</f>
        <v>Native hedgerow with trees</v>
      </c>
      <c r="B156" s="68" t="s">
        <v>1008</v>
      </c>
      <c r="C156" s="68" t="str">
        <f>'G-6 Hedgerow Data'!C9</f>
        <v>Medium</v>
      </c>
      <c r="D156" s="68" t="str">
        <f>'G-6 Hedgerow Data'!AH9</f>
        <v>Same distinctiveness band or better</v>
      </c>
      <c r="E156" s="358">
        <f>SUMIF('B-1 On-Site Hedge Baseline'!$D$10:$D$257,'G-2 Habitat groups'!A156,'B-1 On-Site Hedge Baseline'!$E$10:$E$257)</f>
        <v>1.54</v>
      </c>
      <c r="F156" s="358">
        <f>SUMIF('B-1 On-Site Hedge Baseline'!$D$10:$D$257,'G-2 Habitat groups'!A156,'B-1 On-Site Hedge Baseline'!$N$10:$N$257)</f>
        <v>14.24</v>
      </c>
      <c r="G156" s="358">
        <f>SUMIF('B-1 On-Site Hedge Baseline'!$D$10:$D$257,'G-2 Habitat groups'!A156,'B-1 On-Site Hedge Baseline'!$P$10:$P$257)</f>
        <v>1.54</v>
      </c>
      <c r="H156" s="358">
        <f>SUMIF('B-1 On-Site Hedge Baseline'!$D$10:$D$257,'G-2 Habitat groups'!A156,'B-1 On-Site Hedge Baseline'!$R$10:$R$257)</f>
        <v>14.24</v>
      </c>
      <c r="I156" s="358">
        <f>SUMIF('B-1 On-Site Hedge Baseline'!$D$10:$D$257,'G-2 Habitat groups'!A156,'B-1 On-Site Hedge Baseline'!$T$10:$T$257)</f>
        <v>0</v>
      </c>
      <c r="J156" s="439">
        <f>SUMIF('B-1 On-Site Hedge Baseline'!$D$10:$D$257,'G-2 Habitat groups'!A156,'B-1 On-Site Hedge Baseline'!$U$10:$U$257)</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1.54</v>
      </c>
      <c r="P156" s="358">
        <f t="shared" si="108"/>
        <v>14.24</v>
      </c>
      <c r="Q156" s="358">
        <f t="shared" si="109"/>
        <v>0</v>
      </c>
      <c r="R156" s="358">
        <f t="shared" si="110"/>
        <v>0</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v>
      </c>
      <c r="AF156" s="358">
        <f t="shared" si="114"/>
        <v>0</v>
      </c>
      <c r="AU156" s="79" t="s">
        <v>684</v>
      </c>
      <c r="AV156" s="68" t="s">
        <v>129</v>
      </c>
      <c r="AW156" s="358">
        <f>VLOOKUP($AU156,AllHabsSummaryData,5,FALSE)</f>
        <v>0.14799999999999999</v>
      </c>
      <c r="AX156" s="358">
        <f>VLOOKUP($AU156,AllHabsSummaryData,10,FALSE)</f>
        <v>0</v>
      </c>
      <c r="AY156" s="358">
        <f>VLOOKUP($AU156,AllHabsSummaryData,15,FALSE)</f>
        <v>0</v>
      </c>
      <c r="AZ156" s="358">
        <f>VLOOKUP($AU156,AllHabsSummaryData,16,FALSE)</f>
        <v>0</v>
      </c>
      <c r="BA156" s="358">
        <f>VLOOKUP($AU156,AllHabsSummaryData,17,FALSE)</f>
        <v>-0.14799999999999999</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x14ac:dyDescent="0.25">
      <c r="A157" s="79" t="str">
        <f>'G-6 Hedgerow Data'!B10</f>
        <v>Ecologically valuable line of trees</v>
      </c>
      <c r="B157" s="68" t="s">
        <v>1008</v>
      </c>
      <c r="C157" s="68" t="str">
        <f>'G-6 Hedgerow Data'!C10</f>
        <v>Medium</v>
      </c>
      <c r="D157" s="68" t="str">
        <f>'G-6 Hedgerow Data'!AH10</f>
        <v>Same distinctiveness band or better</v>
      </c>
      <c r="E157" s="358">
        <f>SUMIF('B-1 On-Site Hedge Baseline'!$D$10:$D$257,'G-2 Habitat groups'!A157,'B-1 On-Site Hedge Baseline'!$E$10:$E$257)</f>
        <v>0</v>
      </c>
      <c r="F157" s="358">
        <f>SUMIF('B-1 On-Site Hedge Baseline'!$D$10:$D$257,'G-2 Habitat groups'!A157,'B-1 On-Site Hedge Baseline'!$N$10:$N$257)</f>
        <v>0</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0</v>
      </c>
      <c r="J157" s="439">
        <f>SUMIF('B-1 On-Site Hedge Baseline'!$D$10:$D$257,'G-2 Habitat groups'!A157,'B-1 On-Site Hedge Baseline'!$U$10:$U$257)</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0</v>
      </c>
      <c r="R157" s="358">
        <f t="shared" si="110"/>
        <v>0</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0</v>
      </c>
      <c r="AF157" s="358">
        <f t="shared" si="114"/>
        <v>0</v>
      </c>
      <c r="AU157" s="79" t="s">
        <v>692</v>
      </c>
      <c r="AV157" s="68" t="s">
        <v>129</v>
      </c>
      <c r="AW157" s="358">
        <f>VLOOKUP($AU157,AllHabsSummaryData,5,FALSE)</f>
        <v>0.06</v>
      </c>
      <c r="AX157" s="358">
        <f>VLOOKUP($AU157,AllHabsSummaryData,10,FALSE)</f>
        <v>0</v>
      </c>
      <c r="AY157" s="358">
        <f>VLOOKUP($AU157,AllHabsSummaryData,15,FALSE)</f>
        <v>0.06</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x14ac:dyDescent="0.25">
      <c r="A158" s="79" t="str">
        <f>'G-6 Hedgerow Data'!B11</f>
        <v>Ecologically valuable line of trees - associated with bank or ditch</v>
      </c>
      <c r="B158" s="68" t="s">
        <v>1008</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439">
        <f>SUMIF('B-1 On-Site Hedge Baseline'!$D$10:$D$257,'G-2 Habitat groups'!A158,'B-1 On-Site Hedge Baseline'!$U$10:$U$257)</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697</v>
      </c>
      <c r="AV158" s="68" t="s">
        <v>129</v>
      </c>
      <c r="AW158" s="358">
        <f>VLOOKUP($AU158,AllHabsSummaryData,5,FALSE)</f>
        <v>0.30500000000000005</v>
      </c>
      <c r="AX158" s="358">
        <f>VLOOKUP($AU158,AllHabsSummaryData,10,FALSE)</f>
        <v>0</v>
      </c>
      <c r="AY158" s="358">
        <f>VLOOKUP($AU158,AllHabsSummaryData,15,FALSE)</f>
        <v>1.3179999999999998</v>
      </c>
      <c r="AZ158" s="358">
        <f>VLOOKUP($AU158,AllHabsSummaryData,16,FALSE)</f>
        <v>0</v>
      </c>
      <c r="BA158" s="358">
        <f>VLOOKUP($AU158,AllHabsSummaryData,17,FALSE)</f>
        <v>1.0129999999999999</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x14ac:dyDescent="0.25">
      <c r="A159" s="79" t="str">
        <f>'G-6 Hedgerow Data'!B12</f>
        <v>Native hedgerow</v>
      </c>
      <c r="B159" s="68" t="s">
        <v>1008</v>
      </c>
      <c r="C159" s="68" t="str">
        <f>'G-6 Hedgerow Data'!C12</f>
        <v>Low</v>
      </c>
      <c r="D159" s="68" t="str">
        <f>'G-6 Hedgerow Data'!AH12</f>
        <v>Same distinctiveness band or better</v>
      </c>
      <c r="E159" s="358">
        <f>SUMIF('B-1 On-Site Hedge Baseline'!$D$10:$D$257,'G-2 Habitat groups'!A159,'B-1 On-Site Hedge Baseline'!$E$10:$E$257)</f>
        <v>0.2</v>
      </c>
      <c r="F159" s="358">
        <f>SUMIF('B-1 On-Site Hedge Baseline'!$D$10:$D$257,'G-2 Habitat groups'!A159,'B-1 On-Site Hedge Baseline'!$N$10:$N$257)</f>
        <v>0.8</v>
      </c>
      <c r="G159" s="358">
        <f>SUMIF('B-1 On-Site Hedge Baseline'!$D$10:$D$257,'G-2 Habitat groups'!A159,'B-1 On-Site Hedge Baseline'!$P$10:$P$257)</f>
        <v>0.2</v>
      </c>
      <c r="H159" s="358">
        <f>SUMIF('B-1 On-Site Hedge Baseline'!$D$10:$D$257,'G-2 Habitat groups'!A159,'B-1 On-Site Hedge Baseline'!$R$10:$R$257)</f>
        <v>0.8</v>
      </c>
      <c r="I159" s="358">
        <f>SUMIF('B-1 On-Site Hedge Baseline'!$D$10:$D$257,'G-2 Habitat groups'!A159,'B-1 On-Site Hedge Baseline'!$T$10:$T$257)</f>
        <v>0</v>
      </c>
      <c r="J159" s="439">
        <f>SUMIF('B-1 On-Site Hedge Baseline'!$D$10:$D$257,'G-2 Habitat groups'!A159,'B-1 On-Site Hedge Baseline'!$U$10:$U$257)</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0.2</v>
      </c>
      <c r="P159" s="358">
        <f t="shared" si="108"/>
        <v>0.8</v>
      </c>
      <c r="Q159" s="358">
        <f t="shared" si="109"/>
        <v>0</v>
      </c>
      <c r="R159" s="358">
        <f t="shared" si="110"/>
        <v>0</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0</v>
      </c>
      <c r="AF159" s="358">
        <f t="shared" si="114"/>
        <v>0</v>
      </c>
      <c r="AU159" s="79" t="s">
        <v>729</v>
      </c>
      <c r="AV159" s="68" t="s">
        <v>129</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x14ac:dyDescent="0.25">
      <c r="A160" s="79" t="str">
        <f>'G-6 Hedgerow Data'!B13</f>
        <v>Line of trees</v>
      </c>
      <c r="B160" s="68" t="s">
        <v>1008</v>
      </c>
      <c r="C160" s="68" t="str">
        <f>'G-6 Hedgerow Data'!C13</f>
        <v>Low</v>
      </c>
      <c r="D160" s="68" t="str">
        <f>'G-6 Hedgerow Data'!AH13</f>
        <v>Same distinctiveness band or better</v>
      </c>
      <c r="E160" s="358">
        <f>SUMIF('B-1 On-Site Hedge Baseline'!$D$10:$D$257,'G-2 Habitat groups'!A160,'B-1 On-Site Hedge Baseline'!$E$10:$E$257)</f>
        <v>0.2</v>
      </c>
      <c r="F160" s="358">
        <f>SUMIF('B-1 On-Site Hedge Baseline'!$D$10:$D$257,'G-2 Habitat groups'!A160,'B-1 On-Site Hedge Baseline'!$N$10:$N$257)</f>
        <v>0.60000000000000009</v>
      </c>
      <c r="G160" s="358">
        <f>SUMIF('B-1 On-Site Hedge Baseline'!$D$10:$D$257,'G-2 Habitat groups'!A160,'B-1 On-Site Hedge Baseline'!$P$10:$P$257)</f>
        <v>0.2</v>
      </c>
      <c r="H160" s="358">
        <f>SUMIF('B-1 On-Site Hedge Baseline'!$D$10:$D$257,'G-2 Habitat groups'!A160,'B-1 On-Site Hedge Baseline'!$R$10:$R$257)</f>
        <v>0.60000000000000009</v>
      </c>
      <c r="I160" s="358">
        <f>SUMIF('B-1 On-Site Hedge Baseline'!$D$10:$D$257,'G-2 Habitat groups'!A160,'B-1 On-Site Hedge Baseline'!$T$10:$T$257)</f>
        <v>0</v>
      </c>
      <c r="J160" s="439">
        <f>SUMIF('B-1 On-Site Hedge Baseline'!$D$10:$D$257,'G-2 Habitat groups'!A160,'B-1 On-Site Hedge Baseline'!$U$10:$U$257)</f>
        <v>0</v>
      </c>
      <c r="K160" s="358">
        <f>SUMIF('B-2 On-Site Hedge Creation'!$D$12:$D$259,'G-2 Habitat groups'!A160,'B-2 On-Site Hedge Creation'!$E$12:$E$259)</f>
        <v>0</v>
      </c>
      <c r="L160" s="358">
        <f>SUMIF('B-2 On-Site Hedge Creation'!$D$12:$D$259,'G-2 Habitat groups'!A160,'B-2 On-Site Hedge Creation'!$W$12:$W$259)</f>
        <v>0</v>
      </c>
      <c r="M160" s="358">
        <f>SUMIF('B-3 On-Site Hedge Enhancement'!$M$12:$M$257,'G-2 Habitat groups'!A160,'B-3 On-Site Hedge Enhancement'!$P$12:$P$257)</f>
        <v>0</v>
      </c>
      <c r="N160" s="358">
        <f>SUMIF('B-3 On-Site Hedge Enhancement'!$M$12:$M$257,'G-2 Habitat groups'!A160,'B-3 On-Site Hedge Enhancement'!$AH$12:$AH$257)</f>
        <v>0</v>
      </c>
      <c r="O160" s="358">
        <f t="shared" si="107"/>
        <v>0.2</v>
      </c>
      <c r="P160" s="358">
        <f t="shared" si="108"/>
        <v>0.60000000000000009</v>
      </c>
      <c r="Q160" s="358">
        <f t="shared" si="109"/>
        <v>0</v>
      </c>
      <c r="R160" s="358">
        <f t="shared" si="110"/>
        <v>0</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v>
      </c>
      <c r="AF160" s="358">
        <f t="shared" si="114"/>
        <v>0</v>
      </c>
    </row>
    <row r="161" spans="1:32" x14ac:dyDescent="0.25">
      <c r="A161" s="79" t="str">
        <f>'G-6 Hedgerow Data'!B14</f>
        <v>Line of trees - associated with bank or ditch</v>
      </c>
      <c r="B161" s="68" t="s">
        <v>1008</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439">
        <f>SUMIF('B-1 On-Site Hedge Baseline'!$D$10:$D$257,'G-2 Habitat groups'!A161,'B-1 On-Site Hedge Baseline'!$U$10:$U$257)</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x14ac:dyDescent="0.25">
      <c r="A162" s="79" t="str">
        <f>'G-6 Hedgerow Data'!B15</f>
        <v>Non-native and ornamental hedgerow</v>
      </c>
      <c r="B162" s="68" t="s">
        <v>1008</v>
      </c>
      <c r="C162" s="68" t="str">
        <f>'G-6 Hedgerow Data'!C15</f>
        <v>V.Low</v>
      </c>
      <c r="D162" s="68" t="str">
        <f>'G-6 Hedgerow Data'!AH15</f>
        <v>Same distinctiveness band or better</v>
      </c>
      <c r="E162" s="358">
        <f>SUMIF('B-1 On-Site Hedge Baseline'!$D$10:$D$257,'G-2 Habitat groups'!A162,'B-1 On-Site Hedge Baseline'!$E$10:$E$257)</f>
        <v>0.6</v>
      </c>
      <c r="F162" s="358">
        <f>SUMIF('B-1 On-Site Hedge Baseline'!$D$10:$D$257,'G-2 Habitat groups'!A162,'B-1 On-Site Hedge Baseline'!$N$10:$N$257)</f>
        <v>0.6</v>
      </c>
      <c r="G162" s="358">
        <f>SUMIF('B-1 On-Site Hedge Baseline'!$D$10:$D$257,'G-2 Habitat groups'!A162,'B-1 On-Site Hedge Baseline'!$P$10:$P$257)</f>
        <v>0.6</v>
      </c>
      <c r="H162" s="358">
        <f>SUMIF('B-1 On-Site Hedge Baseline'!$D$10:$D$257,'G-2 Habitat groups'!A162,'B-1 On-Site Hedge Baseline'!$R$10:$R$257)</f>
        <v>0.6</v>
      </c>
      <c r="I162" s="358">
        <f>SUMIF('B-1 On-Site Hedge Baseline'!$D$10:$D$257,'G-2 Habitat groups'!A162,'B-1 On-Site Hedge Baseline'!$T$10:$T$257)</f>
        <v>0</v>
      </c>
      <c r="J162" s="439">
        <f>SUMIF('B-1 On-Site Hedge Baseline'!$D$10:$D$257,'G-2 Habitat groups'!A162,'B-1 On-Site Hedge Baseline'!$U$10:$U$257)</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0.6</v>
      </c>
      <c r="P162" s="358">
        <f t="shared" si="108"/>
        <v>0.6</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6" x14ac:dyDescent="0.45">
      <c r="A167" s="262" t="s">
        <v>59</v>
      </c>
    </row>
    <row r="170" spans="1:32" ht="22.8" x14ac:dyDescent="0.4">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69" x14ac:dyDescent="0.25">
      <c r="A171" s="78" t="s">
        <v>1010</v>
      </c>
      <c r="B171" s="78" t="s">
        <v>220</v>
      </c>
      <c r="C171" s="78" t="s">
        <v>991</v>
      </c>
      <c r="D171" s="78" t="s">
        <v>934</v>
      </c>
      <c r="E171" s="78" t="s">
        <v>992</v>
      </c>
      <c r="F171" s="78" t="s">
        <v>936</v>
      </c>
      <c r="G171" s="78" t="s">
        <v>993</v>
      </c>
      <c r="H171" s="78" t="s">
        <v>994</v>
      </c>
      <c r="I171" s="78" t="s">
        <v>1011</v>
      </c>
      <c r="J171" s="78" t="s">
        <v>1012</v>
      </c>
      <c r="K171" s="78" t="s">
        <v>996</v>
      </c>
      <c r="L171" s="78" t="s">
        <v>942</v>
      </c>
      <c r="M171" s="78" t="s">
        <v>997</v>
      </c>
      <c r="N171" s="78" t="s">
        <v>944</v>
      </c>
      <c r="O171" s="78" t="s">
        <v>998</v>
      </c>
      <c r="P171" s="78" t="s">
        <v>946</v>
      </c>
      <c r="Q171" s="78" t="s">
        <v>999</v>
      </c>
      <c r="R171" s="78" t="s">
        <v>948</v>
      </c>
      <c r="S171" s="78" t="s">
        <v>1000</v>
      </c>
      <c r="T171" s="78" t="s">
        <v>950</v>
      </c>
      <c r="U171" s="78" t="s">
        <v>1001</v>
      </c>
      <c r="V171" s="78" t="s">
        <v>952</v>
      </c>
      <c r="W171" s="78" t="s">
        <v>1002</v>
      </c>
      <c r="X171" s="78" t="s">
        <v>954</v>
      </c>
      <c r="Y171" s="78" t="s">
        <v>1003</v>
      </c>
      <c r="Z171" s="78" t="s">
        <v>1004</v>
      </c>
      <c r="AA171" s="78" t="s">
        <v>1005</v>
      </c>
      <c r="AB171" s="78" t="s">
        <v>958</v>
      </c>
      <c r="AC171" s="78" t="s">
        <v>1006</v>
      </c>
      <c r="AD171" s="78" t="s">
        <v>960</v>
      </c>
      <c r="AE171" s="78" t="s">
        <v>1007</v>
      </c>
      <c r="AF171" s="78" t="s">
        <v>962</v>
      </c>
    </row>
    <row r="172" spans="1:32" x14ac:dyDescent="0.25">
      <c r="A172" s="79" t="str">
        <f>'G-7 WaterC'' Data'!B4</f>
        <v>Priority habitat</v>
      </c>
      <c r="B172" s="68" t="s">
        <v>59</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x14ac:dyDescent="0.25">
      <c r="A173" s="79" t="str">
        <f>'G-7 WaterC'' Data'!B5</f>
        <v>Other rivers and streams</v>
      </c>
      <c r="B173" s="68" t="s">
        <v>59</v>
      </c>
      <c r="C173" s="68" t="str">
        <f>'G-7 WaterC'' Data'!C5</f>
        <v>High</v>
      </c>
      <c r="D173" s="68" t="str">
        <f>'G-7 WaterC'' Data'!AU5</f>
        <v>Avoid</v>
      </c>
      <c r="E173" s="358">
        <f>SUMIF('C-1 On-Site WaterC'' Baseline'!$D$10:$D$257,'G-2 Habitat groups'!A173,'C-1 On-Site WaterC'' Baseline'!$E$10:$E$257)</f>
        <v>0</v>
      </c>
      <c r="F173" s="358">
        <f>SUMIF('C-1 On-Site WaterC'' Baseline'!$D$10:$D$257,'G-2 Habitat groups'!A173,'C-1 On-Site WaterC'' Baseline'!$R$10:$R$257)</f>
        <v>0</v>
      </c>
      <c r="G173" s="358">
        <f>SUMIF('C-1 On-Site WaterC'' Baseline'!$D$10:$D$257,'G-2 Habitat groups'!A173,'C-1 On-Site WaterC'' Baseline'!$T$10:$T$257)</f>
        <v>0</v>
      </c>
      <c r="H173" s="358">
        <f>SUMIF('C-1 On-Site WaterC'' Baseline'!$D$10:$D$257,'G-2 Habitat groups'!A173,'C-1 On-Site WaterC'' Baseline'!$V$10:$V$257)</f>
        <v>0</v>
      </c>
      <c r="I173" s="358">
        <f>SUMIF('C-1 On-Site WaterC'' Baseline'!$D$10:$D$257,'G-2 Habitat groups'!A173,'C-1 On-Site WaterC'' Baseline'!$X$10:$X$257)</f>
        <v>0</v>
      </c>
      <c r="J173" s="358">
        <f>SUMIF('C-1 On-Site WaterC'' Baseline'!$D$10:$D$257,'G-2 Habitat groups'!A173,'C-1 On-Site WaterC'' Baseline'!$Y$10:$Y$257)</f>
        <v>0</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0</v>
      </c>
      <c r="P173" s="358">
        <f t="shared" si="117"/>
        <v>0</v>
      </c>
      <c r="Q173" s="358">
        <f t="shared" si="118"/>
        <v>0</v>
      </c>
      <c r="R173" s="358">
        <f t="shared" si="118"/>
        <v>0</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v>
      </c>
      <c r="AF173" s="358">
        <f t="shared" si="121"/>
        <v>0</v>
      </c>
    </row>
    <row r="174" spans="1:32" x14ac:dyDescent="0.25">
      <c r="A174" s="79" t="str">
        <f>'G-7 WaterC'' Data'!B6</f>
        <v>Ditches</v>
      </c>
      <c r="B174" s="68" t="s">
        <v>59</v>
      </c>
      <c r="C174" s="68" t="str">
        <f>'G-7 WaterC'' Data'!C6</f>
        <v>Medium</v>
      </c>
      <c r="D174" s="68" t="str">
        <f>'G-7 WaterC'' Data'!AU6</f>
        <v>Avoid, Mitigate or Compensate</v>
      </c>
      <c r="E174" s="358">
        <f>SUMIF('C-1 On-Site WaterC'' Baseline'!$D$10:$D$257,'G-2 Habitat groups'!A174,'C-1 On-Site WaterC'' Baseline'!$E$10:$E$257)</f>
        <v>0</v>
      </c>
      <c r="F174" s="358">
        <f>SUMIF('C-1 On-Site WaterC'' Baseline'!$D$10:$D$257,'G-2 Habitat groups'!A174,'C-1 On-Site WaterC'' Baseline'!$R$10:$R$257)</f>
        <v>0</v>
      </c>
      <c r="G174" s="358">
        <f>SUMIF('C-1 On-Site WaterC'' Baseline'!$D$10:$D$257,'G-2 Habitat groups'!A174,'C-1 On-Site WaterC'' Baseline'!$T$10:$T$257)</f>
        <v>0</v>
      </c>
      <c r="H174" s="358">
        <f>SUMIF('C-1 On-Site WaterC'' Baseline'!$D$10:$D$257,'G-2 Habitat groups'!A174,'C-1 On-Site WaterC'' Baseline'!$V$10:$V$257)</f>
        <v>0</v>
      </c>
      <c r="I174" s="358">
        <f>SUMIF('C-1 On-Site WaterC'' Baseline'!$D$10:$D$257,'G-2 Habitat groups'!A174,'C-1 On-Site WaterC'' Baseline'!$X$10:$X$257)</f>
        <v>0</v>
      </c>
      <c r="J174" s="358">
        <f>SUMIF('C-1 On-Site WaterC'' Baseline'!$D$10:$D$257,'G-2 Habitat groups'!A174,'C-1 On-Site WaterC'' Baseline'!$Y$10:$Y$257)</f>
        <v>0</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v>
      </c>
      <c r="P174" s="358">
        <f t="shared" si="117"/>
        <v>0</v>
      </c>
      <c r="Q174" s="358">
        <f t="shared" si="118"/>
        <v>0</v>
      </c>
      <c r="R174" s="358">
        <f t="shared" si="118"/>
        <v>0</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v>
      </c>
      <c r="AF174" s="358">
        <f t="shared" si="121"/>
        <v>0</v>
      </c>
    </row>
    <row r="175" spans="1:32" x14ac:dyDescent="0.25">
      <c r="A175" s="79" t="str">
        <f>'G-7 WaterC'' Data'!B7</f>
        <v>Canals</v>
      </c>
      <c r="B175" s="68" t="s">
        <v>59</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x14ac:dyDescent="0.25">
      <c r="A176" s="79" t="str">
        <f>'G-7 WaterC'' Data'!B8</f>
        <v>Culvert</v>
      </c>
      <c r="B176" s="68" t="s">
        <v>59</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dHrQz6fCp793VNrSHihwBu0OUErnK2z2svwxPIvYf8sgFn5KnpOLHvcYEHIL2hgByzTAdjeI7S8KsdabzMgC+Q==" saltValue="GWpH7PfQ1ZiQUh4HywfnWg=="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tabColor rgb="FFFFC000"/>
  </sheetPr>
  <dimension ref="A1:AH146"/>
  <sheetViews>
    <sheetView showGridLines="0" zoomScale="80" zoomScaleNormal="80" workbookViewId="0">
      <selection sqref="A1:E1"/>
    </sheetView>
  </sheetViews>
  <sheetFormatPr defaultColWidth="0" defaultRowHeight="13.8" zeroHeight="1" x14ac:dyDescent="0.25"/>
  <cols>
    <col min="1" max="1" width="76.44140625" style="30" customWidth="1"/>
    <col min="2" max="2" width="28.77734375" style="30" bestFit="1" customWidth="1"/>
    <col min="3" max="3" width="18.5546875" style="30" bestFit="1" customWidth="1"/>
    <col min="4" max="4" width="30.5546875" style="30" bestFit="1" customWidth="1"/>
    <col min="5" max="5" width="18.5546875" style="30" bestFit="1" customWidth="1"/>
    <col min="6" max="7" width="9.21875" style="30" customWidth="1"/>
    <col min="8" max="8" width="16.21875" style="30" hidden="1" customWidth="1"/>
    <col min="9" max="9" width="32.77734375" style="30" hidden="1" customWidth="1"/>
    <col min="10" max="10" width="8.21875" style="30" hidden="1" customWidth="1"/>
    <col min="11" max="11" width="9.21875" style="30" customWidth="1"/>
    <col min="12" max="12" width="38.5546875" style="30" customWidth="1"/>
    <col min="13" max="13" width="26.21875" style="30" customWidth="1"/>
    <col min="14" max="14" width="12" style="30" bestFit="1" customWidth="1"/>
    <col min="15" max="15" width="9.21875" style="30" customWidth="1"/>
    <col min="16" max="16" width="11.77734375" style="30" bestFit="1" customWidth="1"/>
    <col min="17" max="17" width="9.21875" style="30" customWidth="1"/>
    <col min="18" max="18" width="18.77734375" style="30" customWidth="1"/>
    <col min="19" max="19" width="40" style="30" customWidth="1"/>
    <col min="20" max="20" width="19.44140625" style="30" customWidth="1"/>
    <col min="21" max="21" width="9.21875" style="30" customWidth="1"/>
    <col min="22" max="22" width="11.21875" style="30" customWidth="1"/>
    <col min="23" max="23" width="12" style="30" bestFit="1" customWidth="1"/>
    <col min="24" max="24" width="14.21875" style="30" bestFit="1" customWidth="1"/>
    <col min="25" max="25" width="17.77734375" style="30" bestFit="1" customWidth="1"/>
    <col min="26" max="26" width="10.21875" style="30" bestFit="1" customWidth="1"/>
    <col min="27" max="28" width="9.21875" style="30" customWidth="1"/>
    <col min="29" max="34" width="0" style="30" hidden="1" customWidth="1"/>
    <col min="35" max="16384" width="9.21875" style="30" hidden="1"/>
  </cols>
  <sheetData>
    <row r="1" spans="1:26" ht="36.6" customHeight="1" thickBot="1" x14ac:dyDescent="0.5">
      <c r="A1" s="1641" t="s">
        <v>1013</v>
      </c>
      <c r="B1" s="1642"/>
      <c r="C1" s="1642"/>
      <c r="D1" s="1642"/>
      <c r="E1" s="1643"/>
      <c r="J1" s="232"/>
      <c r="L1" s="1641" t="s">
        <v>1014</v>
      </c>
      <c r="M1" s="1642"/>
      <c r="N1" s="1643"/>
      <c r="P1" s="1641" t="s">
        <v>379</v>
      </c>
      <c r="Q1" s="1643"/>
    </row>
    <row r="2" spans="1:26" ht="42" customHeight="1" thickBot="1" x14ac:dyDescent="0.5">
      <c r="A2" s="233" t="s">
        <v>933</v>
      </c>
      <c r="B2" s="164" t="s">
        <v>451</v>
      </c>
      <c r="C2" s="164" t="s">
        <v>410</v>
      </c>
      <c r="D2" s="164" t="s">
        <v>452</v>
      </c>
      <c r="E2" s="233" t="s">
        <v>410</v>
      </c>
      <c r="H2" s="1647" t="s">
        <v>1015</v>
      </c>
      <c r="I2" s="1648"/>
      <c r="J2" s="1649"/>
      <c r="L2" s="1644" t="s">
        <v>1016</v>
      </c>
      <c r="M2" s="1645"/>
      <c r="N2" s="1646"/>
      <c r="P2" s="233" t="s">
        <v>121</v>
      </c>
      <c r="Q2" s="233" t="s">
        <v>1017</v>
      </c>
      <c r="S2" s="1302" t="s">
        <v>1018</v>
      </c>
      <c r="T2" s="1304"/>
      <c r="W2" s="1641" t="s">
        <v>1019</v>
      </c>
      <c r="X2" s="1642"/>
      <c r="Y2" s="1642"/>
      <c r="Z2" s="1643"/>
    </row>
    <row r="3" spans="1:26" x14ac:dyDescent="0.25">
      <c r="A3" s="85" t="str">
        <f>'G-1 All Habitats'!B103</f>
        <v>Coastal lagoons - Coastal lagoons</v>
      </c>
      <c r="B3" s="404" t="str">
        <f>'G-1 All Habitats'!N103</f>
        <v>Medium</v>
      </c>
      <c r="C3" s="404">
        <f>'G-1 All Habitats'!O103</f>
        <v>0.67</v>
      </c>
      <c r="D3" s="404" t="str">
        <f>'G-1 All Habitats'!P103</f>
        <v>Medium</v>
      </c>
      <c r="E3" s="404">
        <f>'G-1 All Habitats'!Q103</f>
        <v>0.67</v>
      </c>
      <c r="H3" s="78" t="s">
        <v>286</v>
      </c>
      <c r="I3" s="226" t="s">
        <v>1020</v>
      </c>
      <c r="J3" s="226" t="s">
        <v>1021</v>
      </c>
      <c r="L3" s="226" t="s">
        <v>1020</v>
      </c>
      <c r="M3" s="78" t="s">
        <v>271</v>
      </c>
      <c r="N3" s="226" t="s">
        <v>410</v>
      </c>
      <c r="P3" s="100" t="s">
        <v>216</v>
      </c>
      <c r="Q3" s="404">
        <v>1</v>
      </c>
      <c r="S3" s="226" t="s">
        <v>121</v>
      </c>
      <c r="T3" s="226" t="s">
        <v>410</v>
      </c>
      <c r="W3" s="233" t="s">
        <v>63</v>
      </c>
      <c r="X3" s="233" t="s">
        <v>1022</v>
      </c>
      <c r="Y3" s="233" t="s">
        <v>1023</v>
      </c>
      <c r="Z3" s="233" t="s">
        <v>1024</v>
      </c>
    </row>
    <row r="4" spans="1:26" ht="27.6" x14ac:dyDescent="0.25">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213</v>
      </c>
      <c r="I4" s="116" t="s">
        <v>1025</v>
      </c>
      <c r="J4" s="155">
        <v>1.1499999999999999</v>
      </c>
      <c r="L4" s="100" t="s">
        <v>1026</v>
      </c>
      <c r="M4" s="382" t="s">
        <v>1027</v>
      </c>
      <c r="N4" s="404">
        <v>1.1499999999999999</v>
      </c>
      <c r="P4" s="100" t="s">
        <v>70</v>
      </c>
      <c r="Q4" s="404">
        <v>0.67</v>
      </c>
      <c r="S4" s="100" t="s">
        <v>1028</v>
      </c>
      <c r="T4" s="382">
        <v>1</v>
      </c>
      <c r="W4" s="79" t="s">
        <v>69</v>
      </c>
      <c r="X4" s="404">
        <v>0.3</v>
      </c>
      <c r="Y4" s="404">
        <f>X4*12</f>
        <v>3.5999999999999996</v>
      </c>
      <c r="Z4" s="495">
        <f>3.14159265358979*(Y4*Y4)/10000</f>
        <v>4.0715040790523672E-3</v>
      </c>
    </row>
    <row r="5" spans="1:26" ht="41.4" x14ac:dyDescent="0.25">
      <c r="A5" s="85" t="str">
        <f>'G-1 All Habitats'!B3</f>
        <v>Cropland - Arable field margins cultivated annually</v>
      </c>
      <c r="B5" s="404" t="str">
        <f>'G-1 All Habitats'!N3</f>
        <v>Low</v>
      </c>
      <c r="C5" s="404">
        <f>'G-1 All Habitats'!O3</f>
        <v>1</v>
      </c>
      <c r="D5" s="404" t="str">
        <f>'G-1 All Habitats'!P3</f>
        <v>Low</v>
      </c>
      <c r="E5" s="404">
        <f>'G-1 All Habitats'!Q3</f>
        <v>1</v>
      </c>
      <c r="H5" s="100" t="s">
        <v>70</v>
      </c>
      <c r="I5" s="116" t="s">
        <v>1029</v>
      </c>
      <c r="J5" s="155">
        <v>1.1000000000000001</v>
      </c>
      <c r="L5" s="100" t="s">
        <v>1030</v>
      </c>
      <c r="M5" s="382" t="s">
        <v>1031</v>
      </c>
      <c r="N5" s="404">
        <v>1.1000000000000001</v>
      </c>
      <c r="P5" s="100" t="s">
        <v>213</v>
      </c>
      <c r="Q5" s="404">
        <v>0.33</v>
      </c>
      <c r="S5" s="100" t="s">
        <v>1032</v>
      </c>
      <c r="T5" s="382">
        <v>0.75</v>
      </c>
      <c r="W5" s="79" t="s">
        <v>70</v>
      </c>
      <c r="X5" s="404">
        <v>0.9</v>
      </c>
      <c r="Y5" s="404">
        <f>X5*12</f>
        <v>10.8</v>
      </c>
      <c r="Z5" s="495">
        <f>3.14159265358979*(Y5*Y5)/10000</f>
        <v>3.664353671147131E-2</v>
      </c>
    </row>
    <row r="6" spans="1:26" ht="27.6" x14ac:dyDescent="0.25">
      <c r="A6" s="85" t="str">
        <f>'G-1 All Habitats'!B4</f>
        <v>Cropland - Arable field margins game bird mix</v>
      </c>
      <c r="B6" s="404" t="str">
        <f>'G-1 All Habitats'!N4</f>
        <v>Low</v>
      </c>
      <c r="C6" s="404">
        <f>'G-1 All Habitats'!O4</f>
        <v>1</v>
      </c>
      <c r="D6" s="404" t="str">
        <f>'G-1 All Habitats'!P4</f>
        <v>Low</v>
      </c>
      <c r="E6" s="404">
        <f>'G-1 All Habitats'!Q4</f>
        <v>1</v>
      </c>
      <c r="H6" s="234" t="s">
        <v>216</v>
      </c>
      <c r="I6" s="116" t="s">
        <v>1033</v>
      </c>
      <c r="J6" s="155">
        <v>1</v>
      </c>
      <c r="L6" s="100" t="s">
        <v>1034</v>
      </c>
      <c r="M6" s="382" t="s">
        <v>1035</v>
      </c>
      <c r="N6" s="404">
        <v>1</v>
      </c>
      <c r="P6" s="100" t="s">
        <v>211</v>
      </c>
      <c r="Q6" s="404">
        <v>0.1</v>
      </c>
      <c r="S6" s="265" t="s">
        <v>1036</v>
      </c>
      <c r="T6" s="382">
        <v>0.5</v>
      </c>
      <c r="W6" s="79" t="s">
        <v>71</v>
      </c>
      <c r="X6" s="404">
        <v>1.3</v>
      </c>
      <c r="Y6" s="404">
        <f>X6*12</f>
        <v>15.600000000000001</v>
      </c>
      <c r="Z6" s="495">
        <f>3.14159265358979*(Y6*Y6)/10000</f>
        <v>7.645379881776114E-2</v>
      </c>
    </row>
    <row r="7" spans="1:26" ht="49.95" customHeight="1" x14ac:dyDescent="0.25">
      <c r="A7" s="85" t="str">
        <f>'G-1 All Habitats'!B5</f>
        <v>Cropland - Arable field margins pollen and nectar</v>
      </c>
      <c r="B7" s="404" t="str">
        <f>'G-1 All Habitats'!N5</f>
        <v>Low</v>
      </c>
      <c r="C7" s="404">
        <f>'G-1 All Habitats'!O5</f>
        <v>1</v>
      </c>
      <c r="D7" s="404" t="str">
        <f>'G-1 All Habitats'!P5</f>
        <v>Low</v>
      </c>
      <c r="E7" s="404">
        <f>'G-1 All Habitats'!Q5</f>
        <v>1</v>
      </c>
      <c r="H7" s="234" t="s">
        <v>1037</v>
      </c>
      <c r="I7" s="116" t="s">
        <v>1038</v>
      </c>
      <c r="J7" s="155">
        <v>1</v>
      </c>
      <c r="S7" s="265" t="s">
        <v>1039</v>
      </c>
      <c r="T7" s="404">
        <v>1</v>
      </c>
    </row>
    <row r="8" spans="1:26" ht="49.95" customHeight="1" x14ac:dyDescent="0.25">
      <c r="A8" s="85" t="str">
        <f>'G-1 All Habitats'!B6</f>
        <v>Cropland - Arable field margins tussocky</v>
      </c>
      <c r="B8" s="404" t="str">
        <f>'G-1 All Habitats'!N6</f>
        <v>Low</v>
      </c>
      <c r="C8" s="404">
        <f>'G-1 All Habitats'!O6</f>
        <v>1</v>
      </c>
      <c r="D8" s="404" t="str">
        <f>'G-1 All Habitats'!P6</f>
        <v>Low</v>
      </c>
      <c r="E8" s="404">
        <f>'G-1 All Habitats'!Q6</f>
        <v>1</v>
      </c>
      <c r="S8" s="265" t="s">
        <v>1040</v>
      </c>
      <c r="T8" s="382">
        <v>1</v>
      </c>
    </row>
    <row r="9" spans="1:26" ht="49.95" customHeight="1" x14ac:dyDescent="0.25">
      <c r="A9" s="85" t="str">
        <f>'G-1 All Habitats'!B7</f>
        <v>Cropland - Cereal crops</v>
      </c>
      <c r="B9" s="404" t="str">
        <f>'G-1 All Habitats'!N7</f>
        <v>Low</v>
      </c>
      <c r="C9" s="404">
        <f>'G-1 All Habitats'!O7</f>
        <v>1</v>
      </c>
      <c r="D9" s="404" t="str">
        <f>'G-1 All Habitats'!P7</f>
        <v>Low</v>
      </c>
      <c r="E9" s="404">
        <f>'G-1 All Habitats'!Q7</f>
        <v>1</v>
      </c>
      <c r="S9" s="265" t="s">
        <v>1041</v>
      </c>
      <c r="T9" s="382">
        <v>0.75</v>
      </c>
    </row>
    <row r="10" spans="1:26" ht="55.2" x14ac:dyDescent="0.25">
      <c r="A10" s="85" t="str">
        <f>'G-1 All Habitats'!B8</f>
        <v>Cropland - Winter stubble</v>
      </c>
      <c r="B10" s="404" t="str">
        <f>'G-1 All Habitats'!N8</f>
        <v>Low</v>
      </c>
      <c r="C10" s="404">
        <f>'G-1 All Habitats'!O8</f>
        <v>1</v>
      </c>
      <c r="D10" s="404" t="str">
        <f>'G-1 All Habitats'!P8</f>
        <v>Low</v>
      </c>
      <c r="E10" s="404">
        <f>'G-1 All Habitats'!Q8</f>
        <v>1</v>
      </c>
      <c r="S10" s="265" t="s">
        <v>1042</v>
      </c>
      <c r="T10" s="382">
        <v>0.5</v>
      </c>
    </row>
    <row r="11" spans="1:26" x14ac:dyDescent="0.25">
      <c r="A11" s="85" t="str">
        <f>'G-1 All Habitats'!B9</f>
        <v>Cropland - Horticulture</v>
      </c>
      <c r="B11" s="404" t="str">
        <f>'G-1 All Habitats'!N9</f>
        <v>Low</v>
      </c>
      <c r="C11" s="404">
        <f>'G-1 All Habitats'!O9</f>
        <v>1</v>
      </c>
      <c r="D11" s="404" t="str">
        <f>'G-1 All Habitats'!P9</f>
        <v>Low</v>
      </c>
      <c r="E11" s="404">
        <f>'G-1 All Habitats'!Q9</f>
        <v>1</v>
      </c>
    </row>
    <row r="12" spans="1:26" x14ac:dyDescent="0.25">
      <c r="A12" s="85" t="str">
        <f>'G-1 All Habitats'!B10</f>
        <v>Cropland - Intensive orchards</v>
      </c>
      <c r="B12" s="404" t="str">
        <f>'G-1 All Habitats'!N10</f>
        <v>Low</v>
      </c>
      <c r="C12" s="404">
        <f>'G-1 All Habitats'!O10</f>
        <v>1</v>
      </c>
      <c r="D12" s="404" t="str">
        <f>'G-1 All Habitats'!P10</f>
        <v>Low</v>
      </c>
      <c r="E12" s="404">
        <f>'G-1 All Habitats'!Q10</f>
        <v>1</v>
      </c>
    </row>
    <row r="13" spans="1:26" x14ac:dyDescent="0.25">
      <c r="A13" s="85" t="str">
        <f>'G-1 All Habitats'!B11</f>
        <v>Cropland - Non-cereal crops</v>
      </c>
      <c r="B13" s="404" t="str">
        <f>'G-1 All Habitats'!N11</f>
        <v>Low</v>
      </c>
      <c r="C13" s="404">
        <f>'G-1 All Habitats'!O11</f>
        <v>1</v>
      </c>
      <c r="D13" s="404" t="str">
        <f>'G-1 All Habitats'!P11</f>
        <v>Low</v>
      </c>
      <c r="E13" s="404">
        <f>'G-1 All Habitats'!Q11</f>
        <v>1</v>
      </c>
    </row>
    <row r="14" spans="1:26" x14ac:dyDescent="0.25">
      <c r="A14" s="85" t="str">
        <f>'G-1 All Habitats'!B12</f>
        <v>Cropland - Temporary grass and clover leys</v>
      </c>
      <c r="B14" s="404" t="str">
        <f>'G-1 All Habitats'!N12</f>
        <v>Low</v>
      </c>
      <c r="C14" s="404">
        <f>'G-1 All Habitats'!O12</f>
        <v>1</v>
      </c>
      <c r="D14" s="404" t="str">
        <f>'G-1 All Habitats'!P12</f>
        <v>Low</v>
      </c>
      <c r="E14" s="404">
        <f>'G-1 All Habitats'!Q12</f>
        <v>1</v>
      </c>
    </row>
    <row r="15" spans="1:26" x14ac:dyDescent="0.25">
      <c r="A15" s="85" t="str">
        <f>'G-1 All Habitats'!B13</f>
        <v>Grassland - Traditional orchards</v>
      </c>
      <c r="B15" s="404" t="str">
        <f>'G-1 All Habitats'!N13</f>
        <v>Low</v>
      </c>
      <c r="C15" s="404">
        <f>'G-1 All Habitats'!O13</f>
        <v>1</v>
      </c>
      <c r="D15" s="404" t="str">
        <f>'G-1 All Habitats'!P13</f>
        <v>Medium</v>
      </c>
      <c r="E15" s="404">
        <f>'G-1 All Habitats'!Q13</f>
        <v>0.67</v>
      </c>
    </row>
    <row r="16" spans="1:26" x14ac:dyDescent="0.25">
      <c r="A16" s="85" t="str">
        <f>'G-1 All Habitats'!B14</f>
        <v>Grassland - Bracken</v>
      </c>
      <c r="B16" s="404" t="str">
        <f>'G-1 All Habitats'!N14</f>
        <v>Low</v>
      </c>
      <c r="C16" s="404">
        <f>'G-1 All Habitats'!O14</f>
        <v>1</v>
      </c>
      <c r="D16" s="404" t="str">
        <f>'G-1 All Habitats'!P14</f>
        <v>Low</v>
      </c>
      <c r="E16" s="404">
        <f>'G-1 All Habitats'!Q14</f>
        <v>1</v>
      </c>
    </row>
    <row r="17" spans="1:5" x14ac:dyDescent="0.2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x14ac:dyDescent="0.25">
      <c r="A18" s="85" t="str">
        <f>'G-1 All Habitats'!B16</f>
        <v>Grassland - Lowland calcareous grassland</v>
      </c>
      <c r="B18" s="404" t="str">
        <f>'G-1 All Habitats'!N16</f>
        <v>High</v>
      </c>
      <c r="C18" s="404">
        <f>'G-1 All Habitats'!O16</f>
        <v>0.33</v>
      </c>
      <c r="D18" s="404" t="str">
        <f>'G-1 All Habitats'!P16</f>
        <v>High</v>
      </c>
      <c r="E18" s="404">
        <f>'G-1 All Habitats'!Q16</f>
        <v>0.33</v>
      </c>
    </row>
    <row r="19" spans="1:5" x14ac:dyDescent="0.25">
      <c r="A19" s="85" t="str">
        <f>'G-1 All Habitats'!B17</f>
        <v>Grassland - Lowland dry acid grassland</v>
      </c>
      <c r="B19" s="404" t="str">
        <f>'G-1 All Habitats'!N17</f>
        <v>High</v>
      </c>
      <c r="C19" s="404">
        <f>'G-1 All Habitats'!O17</f>
        <v>0.33</v>
      </c>
      <c r="D19" s="404" t="str">
        <f>'G-1 All Habitats'!P17</f>
        <v>High</v>
      </c>
      <c r="E19" s="404">
        <f>'G-1 All Habitats'!Q17</f>
        <v>0.33</v>
      </c>
    </row>
    <row r="20" spans="1:5" x14ac:dyDescent="0.25">
      <c r="A20" s="85" t="str">
        <f>'G-1 All Habitats'!B18</f>
        <v>Grassland - Lowland meadows</v>
      </c>
      <c r="B20" s="404" t="str">
        <f>'G-1 All Habitats'!N18</f>
        <v>High</v>
      </c>
      <c r="C20" s="404">
        <f>'G-1 All Habitats'!O18</f>
        <v>0.33</v>
      </c>
      <c r="D20" s="404" t="str">
        <f>'G-1 All Habitats'!P18</f>
        <v>Medium</v>
      </c>
      <c r="E20" s="404">
        <f>'G-1 All Habitats'!Q18</f>
        <v>0.67</v>
      </c>
    </row>
    <row r="21" spans="1:5" x14ac:dyDescent="0.25">
      <c r="A21" s="85" t="str">
        <f>'G-1 All Habitats'!B19</f>
        <v>Grassland - Modified grassland</v>
      </c>
      <c r="B21" s="404" t="str">
        <f>'G-1 All Habitats'!N19</f>
        <v>Low</v>
      </c>
      <c r="C21" s="404">
        <f>'G-1 All Habitats'!O19</f>
        <v>1</v>
      </c>
      <c r="D21" s="404" t="str">
        <f>'G-1 All Habitats'!P19</f>
        <v>Low</v>
      </c>
      <c r="E21" s="404">
        <f>'G-1 All Habitats'!Q19</f>
        <v>1</v>
      </c>
    </row>
    <row r="22" spans="1:5" x14ac:dyDescent="0.25">
      <c r="A22" s="85" t="str">
        <f>'G-1 All Habitats'!B20</f>
        <v>Grassland - Other lowland acid grassland</v>
      </c>
      <c r="B22" s="404" t="str">
        <f>'G-1 All Habitats'!N20</f>
        <v>Low</v>
      </c>
      <c r="C22" s="404">
        <f>'G-1 All Habitats'!O20</f>
        <v>1</v>
      </c>
      <c r="D22" s="404" t="str">
        <f>'G-1 All Habitats'!P20</f>
        <v>Low</v>
      </c>
      <c r="E22" s="404">
        <f>'G-1 All Habitats'!Q20</f>
        <v>1</v>
      </c>
    </row>
    <row r="23" spans="1:5" x14ac:dyDescent="0.25">
      <c r="A23" s="85" t="str">
        <f>'G-1 All Habitats'!B21</f>
        <v>Grassland - Other neutral grassland</v>
      </c>
      <c r="B23" s="404" t="str">
        <f>'G-1 All Habitats'!N21</f>
        <v>Low</v>
      </c>
      <c r="C23" s="404">
        <f>'G-1 All Habitats'!O21</f>
        <v>1</v>
      </c>
      <c r="D23" s="404" t="str">
        <f>'G-1 All Habitats'!P21</f>
        <v>Low</v>
      </c>
      <c r="E23" s="404">
        <f>'G-1 All Habitats'!Q21</f>
        <v>1</v>
      </c>
    </row>
    <row r="24" spans="1:5" x14ac:dyDescent="0.25">
      <c r="A24" s="85" t="str">
        <f>'G-1 All Habitats'!B22</f>
        <v>Grassland - Tall herb communities (H6430)</v>
      </c>
      <c r="B24" s="404" t="str">
        <f>'G-1 All Habitats'!N22</f>
        <v>High</v>
      </c>
      <c r="C24" s="404">
        <f>'G-1 All Habitats'!O22</f>
        <v>0.33</v>
      </c>
      <c r="D24" s="404" t="str">
        <f>'G-1 All Habitats'!P22</f>
        <v>High</v>
      </c>
      <c r="E24" s="404">
        <f>'G-1 All Habitats'!Q22</f>
        <v>0.33</v>
      </c>
    </row>
    <row r="25" spans="1:5" x14ac:dyDescent="0.25">
      <c r="A25" s="85" t="str">
        <f>'G-1 All Habitats'!B23</f>
        <v>Grassland - Upland acid grassland</v>
      </c>
      <c r="B25" s="404" t="str">
        <f>'G-1 All Habitats'!N23</f>
        <v>Low</v>
      </c>
      <c r="C25" s="404">
        <f>'G-1 All Habitats'!O23</f>
        <v>1</v>
      </c>
      <c r="D25" s="404" t="str">
        <f>'G-1 All Habitats'!P23</f>
        <v>Low</v>
      </c>
      <c r="E25" s="404">
        <f>'G-1 All Habitats'!Q23</f>
        <v>1</v>
      </c>
    </row>
    <row r="26" spans="1:5" x14ac:dyDescent="0.25">
      <c r="A26" s="85" t="str">
        <f>'G-1 All Habitats'!B24</f>
        <v>Grassland - Upland calcareous grassland</v>
      </c>
      <c r="B26" s="404" t="str">
        <f>'G-1 All Habitats'!N24</f>
        <v>High</v>
      </c>
      <c r="C26" s="404">
        <f>'G-1 All Habitats'!O24</f>
        <v>0.33</v>
      </c>
      <c r="D26" s="404" t="str">
        <f>'G-1 All Habitats'!P24</f>
        <v>High</v>
      </c>
      <c r="E26" s="404">
        <f>'G-1 All Habitats'!Q24</f>
        <v>0.33</v>
      </c>
    </row>
    <row r="27" spans="1:5" x14ac:dyDescent="0.25">
      <c r="A27" s="85" t="str">
        <f>'G-1 All Habitats'!B25</f>
        <v>Grassland - Upland hay meadows</v>
      </c>
      <c r="B27" s="404" t="str">
        <f>'G-1 All Habitats'!N25</f>
        <v>High</v>
      </c>
      <c r="C27" s="404">
        <f>'G-1 All Habitats'!O25</f>
        <v>0.33</v>
      </c>
      <c r="D27" s="404" t="str">
        <f>'G-1 All Habitats'!P25</f>
        <v>Medium</v>
      </c>
      <c r="E27" s="404">
        <f>'G-1 All Habitats'!Q25</f>
        <v>0.67</v>
      </c>
    </row>
    <row r="28" spans="1:5" x14ac:dyDescent="0.25">
      <c r="A28" s="85" t="str">
        <f>'G-1 All Habitats'!B26</f>
        <v>Heathland and shrub - Blackthorn scrub</v>
      </c>
      <c r="B28" s="404" t="str">
        <f>'G-1 All Habitats'!N26</f>
        <v>Low</v>
      </c>
      <c r="C28" s="404">
        <f>'G-1 All Habitats'!O26</f>
        <v>1</v>
      </c>
      <c r="D28" s="404" t="str">
        <f>'G-1 All Habitats'!P26</f>
        <v>Low</v>
      </c>
      <c r="E28" s="404">
        <f>'G-1 All Habitats'!Q26</f>
        <v>1</v>
      </c>
    </row>
    <row r="29" spans="1:5" x14ac:dyDescent="0.25">
      <c r="A29" s="85" t="str">
        <f>'G-1 All Habitats'!B27</f>
        <v>Heathland and shrub - Bramble scrub</v>
      </c>
      <c r="B29" s="404" t="str">
        <f>'G-1 All Habitats'!N27</f>
        <v>Low</v>
      </c>
      <c r="C29" s="404">
        <f>'G-1 All Habitats'!O27</f>
        <v>1</v>
      </c>
      <c r="D29" s="404" t="str">
        <f>'G-1 All Habitats'!P27</f>
        <v>Low</v>
      </c>
      <c r="E29" s="404">
        <f>'G-1 All Habitats'!Q27</f>
        <v>1</v>
      </c>
    </row>
    <row r="30" spans="1:5" x14ac:dyDescent="0.25">
      <c r="A30" s="85" t="str">
        <f>'G-1 All Habitats'!B28</f>
        <v>Heathland and shrub - Gorse scrub</v>
      </c>
      <c r="B30" s="404" t="str">
        <f>'G-1 All Habitats'!N28</f>
        <v>Low</v>
      </c>
      <c r="C30" s="404">
        <f>'G-1 All Habitats'!O28</f>
        <v>1</v>
      </c>
      <c r="D30" s="404" t="str">
        <f>'G-1 All Habitats'!P28</f>
        <v>Low</v>
      </c>
      <c r="E30" s="404">
        <f>'G-1 All Habitats'!Q28</f>
        <v>1</v>
      </c>
    </row>
    <row r="31" spans="1:5" x14ac:dyDescent="0.25">
      <c r="A31" s="85" t="str">
        <f>'G-1 All Habitats'!B29</f>
        <v>Heathland and shrub - Hawthorn scrub</v>
      </c>
      <c r="B31" s="404" t="str">
        <f>'G-1 All Habitats'!N29</f>
        <v>Low</v>
      </c>
      <c r="C31" s="404">
        <f>'G-1 All Habitats'!O29</f>
        <v>1</v>
      </c>
      <c r="D31" s="404" t="str">
        <f>'G-1 All Habitats'!P29</f>
        <v>Low</v>
      </c>
      <c r="E31" s="404">
        <f>'G-1 All Habitats'!Q29</f>
        <v>1</v>
      </c>
    </row>
    <row r="32" spans="1:5" x14ac:dyDescent="0.25">
      <c r="A32" s="85" t="str">
        <f>'G-1 All Habitats'!B30</f>
        <v>Heathland and shrub - Hazel scrub</v>
      </c>
      <c r="B32" s="404" t="s">
        <v>70</v>
      </c>
      <c r="C32" s="404">
        <f>'G-1 All Habitats'!O30</f>
        <v>0.67</v>
      </c>
      <c r="D32" s="404" t="s">
        <v>216</v>
      </c>
      <c r="E32" s="404">
        <f>'G-1 All Habitats'!Q30</f>
        <v>1</v>
      </c>
    </row>
    <row r="33" spans="1:5" x14ac:dyDescent="0.25">
      <c r="A33" s="85" t="s">
        <v>606</v>
      </c>
      <c r="B33" s="404" t="s">
        <v>70</v>
      </c>
      <c r="C33" s="404">
        <v>0.67</v>
      </c>
      <c r="D33" s="404" t="s">
        <v>216</v>
      </c>
      <c r="E33" s="404">
        <v>1</v>
      </c>
    </row>
    <row r="34" spans="1:5" x14ac:dyDescent="0.2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x14ac:dyDescent="0.25">
      <c r="A35" s="85" t="str">
        <f>'G-1 All Habitats'!B32</f>
        <v>Heathland and shrub - Mixed scrub</v>
      </c>
      <c r="B35" s="404" t="str">
        <f>'G-1 All Habitats'!N32</f>
        <v>Low</v>
      </c>
      <c r="C35" s="404">
        <f>'G-1 All Habitats'!O32</f>
        <v>1</v>
      </c>
      <c r="D35" s="404" t="str">
        <f>'G-1 All Habitats'!P32</f>
        <v>Low</v>
      </c>
      <c r="E35" s="404">
        <f>'G-1 All Habitats'!Q32</f>
        <v>1</v>
      </c>
    </row>
    <row r="36" spans="1:5" x14ac:dyDescent="0.2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x14ac:dyDescent="0.25">
      <c r="A37" s="85" t="str">
        <f>'G-1 All Habitats'!B34</f>
        <v>Heathland and shrub - Rhododendron scrub</v>
      </c>
      <c r="B37" s="404" t="str">
        <f>'G-1 All Habitats'!N34</f>
        <v>Low</v>
      </c>
      <c r="C37" s="404">
        <f>'G-1 All Habitats'!O34</f>
        <v>1</v>
      </c>
      <c r="D37" s="404" t="str">
        <f>'G-1 All Habitats'!P34</f>
        <v>Low</v>
      </c>
      <c r="E37" s="404">
        <f>'G-1 All Habitats'!Q34</f>
        <v>1</v>
      </c>
    </row>
    <row r="38" spans="1:5" x14ac:dyDescent="0.2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x14ac:dyDescent="0.2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x14ac:dyDescent="0.2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x14ac:dyDescent="0.2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x14ac:dyDescent="0.2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x14ac:dyDescent="0.2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x14ac:dyDescent="0.2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x14ac:dyDescent="0.2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x14ac:dyDescent="0.2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x14ac:dyDescent="0.2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x14ac:dyDescent="0.2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x14ac:dyDescent="0.2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x14ac:dyDescent="0.2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x14ac:dyDescent="0.2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x14ac:dyDescent="0.2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x14ac:dyDescent="0.2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x14ac:dyDescent="0.25">
      <c r="A54" s="85" t="str">
        <f>'G-1 All Habitats'!B40</f>
        <v>Lakes - Ornamental lake or pond</v>
      </c>
      <c r="B54" s="404" t="str">
        <f>'G-1 All Habitats'!N40</f>
        <v>Low</v>
      </c>
      <c r="C54" s="404">
        <f>'G-1 All Habitats'!O40</f>
        <v>1</v>
      </c>
      <c r="D54" s="404" t="str">
        <f>'G-1 All Habitats'!P40</f>
        <v>High</v>
      </c>
      <c r="E54" s="404">
        <f>'G-1 All Habitats'!Q40</f>
        <v>0.33</v>
      </c>
    </row>
    <row r="55" spans="1:5" x14ac:dyDescent="0.25">
      <c r="A55" s="85" t="str">
        <f>'G-1 All Habitats'!B41</f>
        <v>Lakes - High alkalinity lakes</v>
      </c>
      <c r="B55" s="404" t="str">
        <f>'G-1 All Habitats'!N41</f>
        <v>High</v>
      </c>
      <c r="C55" s="404">
        <f>'G-1 All Habitats'!O41</f>
        <v>0.33</v>
      </c>
      <c r="D55" s="404" t="str">
        <f>'G-1 All Habitats'!P41</f>
        <v>High</v>
      </c>
      <c r="E55" s="404">
        <f>'G-1 All Habitats'!Q41</f>
        <v>0.33</v>
      </c>
    </row>
    <row r="56" spans="1:5" x14ac:dyDescent="0.25">
      <c r="A56" s="85" t="str">
        <f>'G-1 All Habitats'!B42</f>
        <v>Lakes - Low alkalinity lakes</v>
      </c>
      <c r="B56" s="404" t="str">
        <f>'G-1 All Habitats'!N42</f>
        <v>High</v>
      </c>
      <c r="C56" s="404">
        <f>'G-1 All Habitats'!O42</f>
        <v>0.33</v>
      </c>
      <c r="D56" s="404" t="str">
        <f>'G-1 All Habitats'!P42</f>
        <v>Medium</v>
      </c>
      <c r="E56" s="404">
        <f>'G-1 All Habitats'!Q42</f>
        <v>0.67</v>
      </c>
    </row>
    <row r="57" spans="1:5" x14ac:dyDescent="0.25">
      <c r="A57" s="85" t="str">
        <f>'G-1 All Habitats'!B43</f>
        <v>Lakes - Marl lakes</v>
      </c>
      <c r="B57" s="404" t="str">
        <f>'G-1 All Habitats'!N43</f>
        <v>High</v>
      </c>
      <c r="C57" s="404">
        <f>'G-1 All Habitats'!O43</f>
        <v>0.33</v>
      </c>
      <c r="D57" s="404" t="str">
        <f>'G-1 All Habitats'!P43</f>
        <v>High</v>
      </c>
      <c r="E57" s="404">
        <f>'G-1 All Habitats'!Q43</f>
        <v>0.33</v>
      </c>
    </row>
    <row r="58" spans="1:5" x14ac:dyDescent="0.25">
      <c r="A58" s="85" t="str">
        <f>'G-1 All Habitats'!B44</f>
        <v>Lakes - Moderate alkalinity lakes</v>
      </c>
      <c r="B58" s="404" t="str">
        <f>'G-1 All Habitats'!N44</f>
        <v>High</v>
      </c>
      <c r="C58" s="404">
        <f>'G-1 All Habitats'!O44</f>
        <v>0.33</v>
      </c>
      <c r="D58" s="404" t="str">
        <f>'G-1 All Habitats'!P44</f>
        <v>High</v>
      </c>
      <c r="E58" s="404">
        <f>'G-1 All Habitats'!Q44</f>
        <v>0.33</v>
      </c>
    </row>
    <row r="59" spans="1:5" x14ac:dyDescent="0.25">
      <c r="A59" s="85" t="str">
        <f>'G-1 All Habitats'!B45</f>
        <v>Lakes - Peat lakes</v>
      </c>
      <c r="B59" s="404" t="str">
        <f>'G-1 All Habitats'!N45</f>
        <v>High</v>
      </c>
      <c r="C59" s="404">
        <f>'G-1 All Habitats'!O45</f>
        <v>0.33</v>
      </c>
      <c r="D59" s="404" t="str">
        <f>'G-1 All Habitats'!P45</f>
        <v>High</v>
      </c>
      <c r="E59" s="404">
        <f>'G-1 All Habitats'!Q45</f>
        <v>0.33</v>
      </c>
    </row>
    <row r="60" spans="1:5" x14ac:dyDescent="0.25">
      <c r="A60" s="85" t="str">
        <f>'G-1 All Habitats'!B47</f>
        <v>Lakes - Ponds (non-priority habitat)</v>
      </c>
      <c r="B60" s="404" t="str">
        <f>'G-1 All Habitats'!N47</f>
        <v>Low</v>
      </c>
      <c r="C60" s="404">
        <f>'G-1 All Habitats'!O47</f>
        <v>1</v>
      </c>
      <c r="D60" s="404" t="str">
        <f>'G-1 All Habitats'!P47</f>
        <v>Medium</v>
      </c>
      <c r="E60" s="404">
        <f>'G-1 All Habitats'!Q47</f>
        <v>0.67</v>
      </c>
    </row>
    <row r="61" spans="1:5" x14ac:dyDescent="0.25">
      <c r="A61" s="85" t="str">
        <f>'G-1 All Habitats'!B46</f>
        <v>Lakes - Ponds (priority habitat)</v>
      </c>
      <c r="B61" s="404" t="str">
        <f>'G-1 All Habitats'!N46</f>
        <v>Medium</v>
      </c>
      <c r="C61" s="404">
        <f>'G-1 All Habitats'!O46</f>
        <v>0.67</v>
      </c>
      <c r="D61" s="404" t="str">
        <f>'G-1 All Habitats'!P46</f>
        <v>Medium</v>
      </c>
      <c r="E61" s="404">
        <f>'G-1 All Habitats'!Q46</f>
        <v>0.67</v>
      </c>
    </row>
    <row r="62" spans="1:5" x14ac:dyDescent="0.25">
      <c r="A62" s="85" t="str">
        <f>'G-1 All Habitats'!B48</f>
        <v>Lakes - Reservoirs</v>
      </c>
      <c r="B62" s="404" t="str">
        <f>'G-1 All Habitats'!N48</f>
        <v>Medium</v>
      </c>
      <c r="C62" s="404">
        <f>'G-1 All Habitats'!O48</f>
        <v>0.67</v>
      </c>
      <c r="D62" s="404" t="str">
        <f>'G-1 All Habitats'!P48</f>
        <v>Medium</v>
      </c>
      <c r="E62" s="404">
        <f>'G-1 All Habitats'!Q48</f>
        <v>0.67</v>
      </c>
    </row>
    <row r="63" spans="1:5" x14ac:dyDescent="0.2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x14ac:dyDescent="0.2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x14ac:dyDescent="0.2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x14ac:dyDescent="0.2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x14ac:dyDescent="0.2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x14ac:dyDescent="0.2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x14ac:dyDescent="0.2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x14ac:dyDescent="0.2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x14ac:dyDescent="0.2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x14ac:dyDescent="0.2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x14ac:dyDescent="0.2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x14ac:dyDescent="0.2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x14ac:dyDescent="0.2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x14ac:dyDescent="0.2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x14ac:dyDescent="0.2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x14ac:dyDescent="0.2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x14ac:dyDescent="0.2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x14ac:dyDescent="0.25">
      <c r="A80" s="85" t="str">
        <f>'G-1 All Habitats'!B54</f>
        <v>Sparsely vegetated land - Tall forbs</v>
      </c>
      <c r="B80" s="404" t="str">
        <f>'G-1 All Habitats'!N54</f>
        <v>Low</v>
      </c>
      <c r="C80" s="404">
        <f>'G-1 All Habitats'!O54</f>
        <v>1</v>
      </c>
      <c r="D80" s="404" t="str">
        <f>'G-1 All Habitats'!P54</f>
        <v>Medium</v>
      </c>
      <c r="E80" s="404">
        <f>'G-1 All Habitats'!Q54</f>
        <v>0.67</v>
      </c>
    </row>
    <row r="81" spans="1:5" x14ac:dyDescent="0.25">
      <c r="A81" s="85" t="str">
        <f>'G-1 All Habitats'!B77</f>
        <v>Urban - Vacant or derelict land</v>
      </c>
      <c r="B81" s="404" t="str">
        <f>'G-1 All Habitats'!N77</f>
        <v>Low</v>
      </c>
      <c r="C81" s="404">
        <f>'G-1 All Habitats'!O77</f>
        <v>1</v>
      </c>
      <c r="D81" s="404" t="str">
        <f>'G-1 All Habitats'!P77</f>
        <v>Low</v>
      </c>
      <c r="E81" s="404">
        <f>'G-1 All Habitats'!Q77</f>
        <v>1</v>
      </c>
    </row>
    <row r="82" spans="1:5" x14ac:dyDescent="0.25">
      <c r="A82" s="85" t="s">
        <v>735</v>
      </c>
      <c r="B82" s="404" t="s">
        <v>216</v>
      </c>
      <c r="C82" s="404">
        <v>1</v>
      </c>
      <c r="D82" s="404" t="s">
        <v>216</v>
      </c>
      <c r="E82" s="404">
        <v>1</v>
      </c>
    </row>
    <row r="83" spans="1:5" x14ac:dyDescent="0.25">
      <c r="A83" s="85" t="str">
        <f>'G-1 All Habitats'!B59</f>
        <v>Urban - Allotments</v>
      </c>
      <c r="B83" s="404" t="str">
        <f>'G-1 All Habitats'!N59</f>
        <v>Low</v>
      </c>
      <c r="C83" s="404">
        <f>'G-1 All Habitats'!O59</f>
        <v>1</v>
      </c>
      <c r="D83" s="404" t="str">
        <f>'G-1 All Habitats'!P59</f>
        <v>Low</v>
      </c>
      <c r="E83" s="404">
        <f>'G-1 All Habitats'!Q59</f>
        <v>1</v>
      </c>
    </row>
    <row r="84" spans="1:5" x14ac:dyDescent="0.2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x14ac:dyDescent="0.25">
      <c r="A85" s="85" t="str">
        <f>'G-1 All Habitats'!B61</f>
        <v>Urban - Bioswale</v>
      </c>
      <c r="B85" s="404" t="str">
        <f>'G-1 All Habitats'!N61</f>
        <v>Medium</v>
      </c>
      <c r="C85" s="404">
        <f>'G-1 All Habitats'!O61</f>
        <v>0.67</v>
      </c>
      <c r="D85" s="404" t="str">
        <f>'G-1 All Habitats'!P61</f>
        <v>Low</v>
      </c>
      <c r="E85" s="404">
        <f>'G-1 All Habitats'!Q61</f>
        <v>1</v>
      </c>
    </row>
    <row r="86" spans="1:5" x14ac:dyDescent="0.25">
      <c r="A86" s="85" t="str">
        <f>'G-1 All Habitats'!B62</f>
        <v>Urban - Intensive green roof</v>
      </c>
      <c r="B86" s="404" t="str">
        <f>'G-1 All Habitats'!N62</f>
        <v>Low</v>
      </c>
      <c r="C86" s="404">
        <f>'G-1 All Habitats'!O62</f>
        <v>1</v>
      </c>
      <c r="D86" s="404" t="str">
        <f>'G-1 All Habitats'!P62</f>
        <v>Low</v>
      </c>
      <c r="E86" s="404">
        <f>'G-1 All Habitats'!Q62</f>
        <v>1</v>
      </c>
    </row>
    <row r="87" spans="1:5" x14ac:dyDescent="0.25">
      <c r="A87" s="85" t="str">
        <f>'G-1 All Habitats'!B63</f>
        <v>Urban - Built linear features</v>
      </c>
      <c r="B87" s="404" t="str">
        <f>'G-1 All Habitats'!N63</f>
        <v>Low</v>
      </c>
      <c r="C87" s="404">
        <f>'G-1 All Habitats'!O63</f>
        <v>1</v>
      </c>
      <c r="D87" s="404" t="str">
        <f>'G-1 All Habitats'!P63</f>
        <v>Low</v>
      </c>
      <c r="E87" s="404">
        <f>'G-1 All Habitats'!Q63</f>
        <v>1</v>
      </c>
    </row>
    <row r="88" spans="1:5" x14ac:dyDescent="0.25">
      <c r="A88" s="85" t="str">
        <f>'G-1 All Habitats'!B64</f>
        <v>Urban - Cemeteries and churchyards</v>
      </c>
      <c r="B88" s="404" t="str">
        <f>'G-1 All Habitats'!N64</f>
        <v>Medium</v>
      </c>
      <c r="C88" s="404">
        <f>'G-1 All Habitats'!O64</f>
        <v>0.67</v>
      </c>
      <c r="D88" s="404" t="str">
        <f>'G-1 All Habitats'!P64</f>
        <v>Low</v>
      </c>
      <c r="E88" s="404">
        <f>'G-1 All Habitats'!Q64</f>
        <v>1</v>
      </c>
    </row>
    <row r="89" spans="1:5" x14ac:dyDescent="0.25">
      <c r="A89" s="85" t="str">
        <f>'G-1 All Habitats'!B65</f>
        <v>Urban - Developed land; sealed surface</v>
      </c>
      <c r="B89" s="404" t="str">
        <f>'G-1 All Habitats'!N65</f>
        <v>Low</v>
      </c>
      <c r="C89" s="404">
        <f>'G-1 All Habitats'!O65</f>
        <v>1</v>
      </c>
      <c r="D89" s="404" t="str">
        <f>'G-1 All Habitats'!P65</f>
        <v>Medium</v>
      </c>
      <c r="E89" s="404">
        <f>'G-1 All Habitats'!Q65</f>
        <v>0.67</v>
      </c>
    </row>
    <row r="90" spans="1:5" x14ac:dyDescent="0.25">
      <c r="A90" s="85" t="str">
        <f>'G-1 All Habitats'!B66</f>
        <v>Urban - Other green roof</v>
      </c>
      <c r="B90" s="404" t="str">
        <f>'G-1 All Habitats'!N66</f>
        <v>Low</v>
      </c>
      <c r="C90" s="404">
        <f>'G-1 All Habitats'!O66</f>
        <v>1</v>
      </c>
      <c r="D90" s="404" t="str">
        <f>'G-1 All Habitats'!P66</f>
        <v>Low</v>
      </c>
      <c r="E90" s="404">
        <f>'G-1 All Habitats'!Q66</f>
        <v>1</v>
      </c>
    </row>
    <row r="91" spans="1:5" x14ac:dyDescent="0.25">
      <c r="A91" s="85" t="str">
        <f>'G-1 All Habitats'!B67</f>
        <v>Urban - Facade-bound green wall</v>
      </c>
      <c r="B91" s="404" t="str">
        <f>'G-1 All Habitats'!N67</f>
        <v>Medium</v>
      </c>
      <c r="C91" s="404">
        <f>'G-1 All Habitats'!O67</f>
        <v>0.67</v>
      </c>
      <c r="D91" s="404" t="str">
        <f>'G-1 All Habitats'!P67</f>
        <v>Medium</v>
      </c>
      <c r="E91" s="404">
        <f>'G-1 All Habitats'!Q67</f>
        <v>0.67</v>
      </c>
    </row>
    <row r="92" spans="1:5" x14ac:dyDescent="0.25">
      <c r="A92" s="85" t="str">
        <f>'G-1 All Habitats'!B68</f>
        <v>Urban - Ground based green wall</v>
      </c>
      <c r="B92" s="404" t="str">
        <f>'G-1 All Habitats'!N68</f>
        <v>Medium</v>
      </c>
      <c r="C92" s="404">
        <f>'G-1 All Habitats'!O68</f>
        <v>0.67</v>
      </c>
      <c r="D92" s="404" t="str">
        <f>'G-1 All Habitats'!P68</f>
        <v>Medium</v>
      </c>
      <c r="E92" s="404">
        <f>'G-1 All Habitats'!Q68</f>
        <v>0.67</v>
      </c>
    </row>
    <row r="93" spans="1:5" x14ac:dyDescent="0.25">
      <c r="A93" s="85" t="str">
        <f>'G-1 All Habitats'!B69</f>
        <v>Urban - Ground level planters</v>
      </c>
      <c r="B93" s="404" t="str">
        <f>'G-1 All Habitats'!N69</f>
        <v>Low</v>
      </c>
      <c r="C93" s="404">
        <f>'G-1 All Habitats'!O69</f>
        <v>1</v>
      </c>
      <c r="D93" s="404" t="str">
        <f>'G-1 All Habitats'!P69</f>
        <v>Low</v>
      </c>
      <c r="E93" s="404">
        <f>'G-1 All Habitats'!Q69</f>
        <v>1</v>
      </c>
    </row>
    <row r="94" spans="1:5" x14ac:dyDescent="0.25">
      <c r="A94" s="85" t="str">
        <f>'G-1 All Habitats'!B70</f>
        <v>Urban - Biodiverse green roof</v>
      </c>
      <c r="B94" s="404" t="str">
        <f>'G-1 All Habitats'!N70</f>
        <v>Medium</v>
      </c>
      <c r="C94" s="404">
        <f>'G-1 All Habitats'!O70</f>
        <v>0.67</v>
      </c>
      <c r="D94" s="404" t="str">
        <f>'G-1 All Habitats'!P70</f>
        <v>Medium</v>
      </c>
      <c r="E94" s="404">
        <f>'G-1 All Habitats'!Q70</f>
        <v>0.67</v>
      </c>
    </row>
    <row r="95" spans="1:5" x14ac:dyDescent="0.25">
      <c r="A95" s="85" t="str">
        <f>'G-1 All Habitats'!B71</f>
        <v>Urban - Introduced shrub</v>
      </c>
      <c r="B95" s="404" t="str">
        <f>'G-1 All Habitats'!N71</f>
        <v>Low</v>
      </c>
      <c r="C95" s="404">
        <f>'G-1 All Habitats'!O71</f>
        <v>1</v>
      </c>
      <c r="D95" s="404" t="str">
        <f>'G-1 All Habitats'!P71</f>
        <v>Low</v>
      </c>
      <c r="E95" s="404">
        <f>'G-1 All Habitats'!Q71</f>
        <v>1</v>
      </c>
    </row>
    <row r="96" spans="1:5" x14ac:dyDescent="0.2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x14ac:dyDescent="0.25">
      <c r="A97" s="85" t="str">
        <f>'G-1 All Habitats'!B73</f>
        <v>Urban - Rain garden</v>
      </c>
      <c r="B97" s="404" t="str">
        <f>'G-1 All Habitats'!N73</f>
        <v>Low</v>
      </c>
      <c r="C97" s="404">
        <f>'G-1 All Habitats'!O73</f>
        <v>1</v>
      </c>
      <c r="D97" s="404" t="str">
        <f>'G-1 All Habitats'!P73</f>
        <v>Low</v>
      </c>
      <c r="E97" s="404">
        <f>'G-1 All Habitats'!Q73</f>
        <v>1</v>
      </c>
    </row>
    <row r="98" spans="1:5" x14ac:dyDescent="0.2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x14ac:dyDescent="0.25">
      <c r="A99" s="85" t="str">
        <f>'G-1 All Habitats'!B80</f>
        <v>Individual trees - Urban tree</v>
      </c>
      <c r="B99" s="404" t="str">
        <f>'G-1 All Habitats'!N80</f>
        <v>Low</v>
      </c>
      <c r="C99" s="404">
        <f>'G-1 All Habitats'!O80</f>
        <v>1</v>
      </c>
      <c r="D99" s="404" t="str">
        <f>'G-1 All Habitats'!P80</f>
        <v>Low</v>
      </c>
      <c r="E99" s="404">
        <f>'G-1 All Habitats'!Q80</f>
        <v>1</v>
      </c>
    </row>
    <row r="100" spans="1:5" x14ac:dyDescent="0.2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x14ac:dyDescent="0.25">
      <c r="A101" s="85" t="str">
        <f>'G-1 All Habitats'!B76</f>
        <v>Urban - Unvegetated garden</v>
      </c>
      <c r="B101" s="404" t="str">
        <f>'G-1 All Habitats'!N76</f>
        <v>Low</v>
      </c>
      <c r="C101" s="404">
        <f>'G-1 All Habitats'!O76</f>
        <v>1</v>
      </c>
      <c r="D101" s="404" t="str">
        <f>'G-1 All Habitats'!P76</f>
        <v>Low</v>
      </c>
      <c r="E101" s="404">
        <f>'G-1 All Habitats'!Q76</f>
        <v>1</v>
      </c>
    </row>
    <row r="102" spans="1:5" x14ac:dyDescent="0.25">
      <c r="A102" s="85" t="str">
        <f>'G-1 All Habitats'!B79</f>
        <v>Urban - Vegetated garden</v>
      </c>
      <c r="B102" s="404" t="str">
        <f>'G-1 All Habitats'!N79</f>
        <v>Low</v>
      </c>
      <c r="C102" s="404">
        <f>'G-1 All Habitats'!O79</f>
        <v>1</v>
      </c>
      <c r="D102" s="404" t="str">
        <f>'G-1 All Habitats'!P79</f>
        <v>Low</v>
      </c>
      <c r="E102" s="404">
        <f>'G-1 All Habitats'!Q79</f>
        <v>1</v>
      </c>
    </row>
    <row r="103" spans="1:5" x14ac:dyDescent="0.25">
      <c r="A103" s="85" t="str">
        <f>'G-1 All Habitats'!B82</f>
        <v>Wetland - Blanket bog</v>
      </c>
      <c r="B103" s="404" t="str">
        <f>'G-1 All Habitats'!N82</f>
        <v>Very High</v>
      </c>
      <c r="C103" s="404">
        <f>'G-1 All Habitats'!O82</f>
        <v>0.1</v>
      </c>
      <c r="D103" s="404" t="str">
        <f>'G-1 All Habitats'!P82</f>
        <v>High</v>
      </c>
      <c r="E103" s="404">
        <f>'G-1 All Habitats'!Q82</f>
        <v>0.33</v>
      </c>
    </row>
    <row r="104" spans="1:5" x14ac:dyDescent="0.2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x14ac:dyDescent="0.25">
      <c r="A105" s="85" t="str">
        <f>'G-1 All Habitats'!B84</f>
        <v>Wetland - Fens (upland and lowland)</v>
      </c>
      <c r="B105" s="404" t="str">
        <f>'G-1 All Habitats'!N84</f>
        <v>High</v>
      </c>
      <c r="C105" s="404">
        <f>'G-1 All Habitats'!O84</f>
        <v>0.33</v>
      </c>
      <c r="D105" s="404" t="str">
        <f>'G-1 All Habitats'!P84</f>
        <v>High</v>
      </c>
      <c r="E105" s="404">
        <f>'G-1 All Habitats'!Q84</f>
        <v>0.33</v>
      </c>
    </row>
    <row r="106" spans="1:5" x14ac:dyDescent="0.25">
      <c r="A106" s="85" t="str">
        <f>'G-1 All Habitats'!B85</f>
        <v>Wetland - Lowland raised bog</v>
      </c>
      <c r="B106" s="404" t="str">
        <f>'G-1 All Habitats'!N85</f>
        <v>Very High</v>
      </c>
      <c r="C106" s="404">
        <f>'G-1 All Habitats'!O85</f>
        <v>0.1</v>
      </c>
      <c r="D106" s="404" t="str">
        <f>'G-1 All Habitats'!P85</f>
        <v>High</v>
      </c>
      <c r="E106" s="404">
        <f>'G-1 All Habitats'!Q85</f>
        <v>0.33</v>
      </c>
    </row>
    <row r="107" spans="1:5" x14ac:dyDescent="0.2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x14ac:dyDescent="0.2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x14ac:dyDescent="0.25">
      <c r="A109" s="85" t="str">
        <f>'G-1 All Habitats'!B88</f>
        <v>Wetland - Reedbeds</v>
      </c>
      <c r="B109" s="404" t="str">
        <f>'G-1 All Habitats'!N88</f>
        <v>Medium</v>
      </c>
      <c r="C109" s="404">
        <f>'G-1 All Habitats'!O88</f>
        <v>0.67</v>
      </c>
      <c r="D109" s="404" t="str">
        <f>'G-1 All Habitats'!P88</f>
        <v>Medium</v>
      </c>
      <c r="E109" s="404">
        <f>'G-1 All Habitats'!Q88</f>
        <v>0.67</v>
      </c>
    </row>
    <row r="110" spans="1:5" x14ac:dyDescent="0.2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x14ac:dyDescent="0.25">
      <c r="A111" s="85" t="str">
        <f>'G-1 All Habitats'!B90</f>
        <v>Woodland and forest - Felled</v>
      </c>
      <c r="B111" s="404" t="s">
        <v>213</v>
      </c>
      <c r="C111" s="404">
        <f>'G-1 All Habitats'!O90</f>
        <v>0.33</v>
      </c>
      <c r="D111" s="404" t="str">
        <f>'G-1 All Habitats'!P90</f>
        <v>Low</v>
      </c>
      <c r="E111" s="404">
        <f>'G-1 All Habitats'!Q90</f>
        <v>1</v>
      </c>
    </row>
    <row r="112" spans="1:5" x14ac:dyDescent="0.2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x14ac:dyDescent="0.2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x14ac:dyDescent="0.2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x14ac:dyDescent="0.2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x14ac:dyDescent="0.2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x14ac:dyDescent="0.2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x14ac:dyDescent="0.2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x14ac:dyDescent="0.2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x14ac:dyDescent="0.2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x14ac:dyDescent="0.2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x14ac:dyDescent="0.2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x14ac:dyDescent="0.2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x14ac:dyDescent="0.2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x14ac:dyDescent="0.2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x14ac:dyDescent="0.2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x14ac:dyDescent="0.2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x14ac:dyDescent="0.2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x14ac:dyDescent="0.2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x14ac:dyDescent="0.2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x14ac:dyDescent="0.2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x14ac:dyDescent="0.2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x14ac:dyDescent="0.25">
      <c r="A133" s="85" t="s">
        <v>926</v>
      </c>
      <c r="B133" s="404" t="s">
        <v>216</v>
      </c>
      <c r="C133" s="404">
        <v>1</v>
      </c>
      <c r="D133" s="404" t="s">
        <v>216</v>
      </c>
      <c r="E133" s="404">
        <v>1</v>
      </c>
    </row>
    <row r="134" spans="1:5" x14ac:dyDescent="0.25">
      <c r="A134" s="85" t="str">
        <f>'G-1 All Habitats'!B81</f>
        <v>Individual trees - Rural tree</v>
      </c>
      <c r="B134" s="404" t="str">
        <f>'G-1 All Habitats'!N81</f>
        <v>Low</v>
      </c>
      <c r="C134" s="404">
        <f>'G-1 All Habitats'!O81</f>
        <v>1</v>
      </c>
      <c r="D134" s="404" t="str">
        <f>'G-1 All Habitats'!P81</f>
        <v>Low</v>
      </c>
      <c r="E134" s="404">
        <f>'G-1 All Habitats'!Q81</f>
        <v>1</v>
      </c>
    </row>
    <row r="135" spans="1:5" x14ac:dyDescent="0.25"/>
    <row r="136" spans="1:5" x14ac:dyDescent="0.25"/>
    <row r="137" spans="1:5" x14ac:dyDescent="0.25"/>
    <row r="138" spans="1:5" x14ac:dyDescent="0.25"/>
    <row r="139" spans="1:5" x14ac:dyDescent="0.25"/>
    <row r="140" spans="1:5" x14ac:dyDescent="0.25"/>
    <row r="141" spans="1:5" x14ac:dyDescent="0.25"/>
    <row r="142" spans="1:5" x14ac:dyDescent="0.25"/>
    <row r="143" spans="1:5" x14ac:dyDescent="0.25"/>
    <row r="144" spans="1:5" x14ac:dyDescent="0.25"/>
    <row r="145" x14ac:dyDescent="0.25"/>
    <row r="146" x14ac:dyDescent="0.25"/>
  </sheetData>
  <sheetProtection algorithmName="SHA-512" hashValue="LX37gJl8cKRLdrJt3rLfCPzhSiJkYJBmr5kZ0OGhpPseuhqQ5FtnIMlwap/PQlYMO1r1UVWN12N1noRPFG86vQ==" saltValue="BV2kjpD7Kr636uyF8gnB7w==" spinCount="100000" sheet="1" objects="1" scenarios="1"/>
  <autoFilter ref="A2:E124" xr:uid="{00000000-0009-0000-0000-00001E000000}">
    <sortState xmlns:xlrd2="http://schemas.microsoft.com/office/spreadsheetml/2017/richdata2"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xr:uid="{00000000-0002-0000-1E00-000000000000}">
      <formula1>$P$3:$P$6</formula1>
    </dataValidation>
    <dataValidation type="list" allowBlank="1" showInputMessage="1" showErrorMessage="1" sqref="C3:C134" xr:uid="{00000000-0002-0000-1E00-000001000000}">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tabColor rgb="FFFFC000"/>
    <pageSetUpPr fitToPage="1"/>
  </sheetPr>
  <dimension ref="A1:AH153"/>
  <sheetViews>
    <sheetView showGridLines="0" zoomScale="80" zoomScaleNormal="80" workbookViewId="0">
      <pane xSplit="6" ySplit="3" topLeftCell="G4" activePane="bottomRight" state="frozen"/>
      <selection pane="topRight"/>
      <selection pane="bottomLeft"/>
      <selection pane="bottomRight" sqref="A1:C1"/>
    </sheetView>
  </sheetViews>
  <sheetFormatPr defaultColWidth="0" defaultRowHeight="13.8" zeroHeight="1" x14ac:dyDescent="0.25"/>
  <cols>
    <col min="1" max="1" width="14.5546875" style="30" customWidth="1"/>
    <col min="2" max="2" width="16.5546875" style="30" customWidth="1"/>
    <col min="3" max="3" width="16.44140625" style="30" customWidth="1"/>
    <col min="4" max="4" width="3" style="30" customWidth="1"/>
    <col min="5" max="5" width="4.21875" style="30" customWidth="1"/>
    <col min="6" max="6" width="88.77734375" style="30" bestFit="1" customWidth="1"/>
    <col min="7" max="7" width="13.21875" style="30" bestFit="1" customWidth="1"/>
    <col min="8" max="8" width="18.5546875" style="30" bestFit="1" customWidth="1"/>
    <col min="9" max="9" width="16.77734375" style="30" bestFit="1" customWidth="1"/>
    <col min="10" max="10" width="17.77734375" style="30" bestFit="1" customWidth="1"/>
    <col min="11" max="11" width="13" style="30" bestFit="1" customWidth="1"/>
    <col min="12" max="12" width="23.5546875" style="30" bestFit="1" customWidth="1"/>
    <col min="13" max="13" width="18.5546875" style="30" bestFit="1" customWidth="1"/>
    <col min="14" max="14" width="9.21875" style="30" customWidth="1"/>
    <col min="15" max="16" width="12.21875" style="30" customWidth="1"/>
    <col min="17" max="17" width="12.77734375" style="30" customWidth="1"/>
    <col min="18" max="18" width="11.44140625" style="30" customWidth="1"/>
    <col min="19" max="33" width="9.21875" style="30" customWidth="1"/>
    <col min="34" max="34" width="8.21875" style="30" hidden="1" customWidth="1"/>
    <col min="35" max="16384" width="9.21875" style="30" hidden="1"/>
  </cols>
  <sheetData>
    <row r="1" spans="1:13" ht="55.2" customHeight="1" x14ac:dyDescent="0.5">
      <c r="A1" s="1651"/>
      <c r="B1" s="1651"/>
      <c r="C1" s="1651"/>
      <c r="F1" s="227"/>
      <c r="G1" s="227"/>
      <c r="H1" s="227"/>
      <c r="I1" s="227"/>
      <c r="J1" s="227"/>
      <c r="K1" s="227"/>
      <c r="L1" s="227"/>
      <c r="M1" s="227"/>
    </row>
    <row r="2" spans="1:13" ht="29.55" customHeight="1" x14ac:dyDescent="0.5">
      <c r="A2" s="1650" t="s">
        <v>1043</v>
      </c>
      <c r="B2" s="1650"/>
      <c r="C2" s="1650"/>
      <c r="F2" s="228"/>
      <c r="G2" s="1652" t="s">
        <v>1044</v>
      </c>
      <c r="H2" s="1652"/>
      <c r="I2" s="1652"/>
      <c r="J2" s="1652"/>
      <c r="K2" s="1652"/>
      <c r="L2" s="1652"/>
      <c r="M2" s="1653"/>
    </row>
    <row r="3" spans="1:13" ht="27.6" x14ac:dyDescent="0.25">
      <c r="A3" s="78" t="s">
        <v>1045</v>
      </c>
      <c r="B3" s="78" t="s">
        <v>1046</v>
      </c>
      <c r="C3" s="78" t="s">
        <v>1047</v>
      </c>
      <c r="F3" s="229" t="s">
        <v>933</v>
      </c>
      <c r="G3" s="79" t="s">
        <v>68</v>
      </c>
      <c r="H3" s="79" t="s">
        <v>472</v>
      </c>
      <c r="I3" s="79" t="s">
        <v>67</v>
      </c>
      <c r="J3" s="79" t="s">
        <v>482</v>
      </c>
      <c r="K3" s="100" t="s">
        <v>328</v>
      </c>
      <c r="L3" s="100" t="s">
        <v>492</v>
      </c>
      <c r="M3" s="79" t="s">
        <v>496</v>
      </c>
    </row>
    <row r="4" spans="1:13" x14ac:dyDescent="0.25">
      <c r="A4" s="79">
        <v>0</v>
      </c>
      <c r="B4" s="404">
        <v>100</v>
      </c>
      <c r="C4" s="492">
        <v>1</v>
      </c>
      <c r="F4" s="68" t="str">
        <f>'G-1 All Habitats'!B3</f>
        <v>Cropland - Arable field margins cultivated annually</v>
      </c>
      <c r="G4" s="404" t="s">
        <v>1048</v>
      </c>
      <c r="H4" s="404" t="s">
        <v>1048</v>
      </c>
      <c r="I4" s="404" t="s">
        <v>1048</v>
      </c>
      <c r="J4" s="404" t="s">
        <v>1048</v>
      </c>
      <c r="K4" s="404" t="s">
        <v>1048</v>
      </c>
      <c r="L4" s="404">
        <v>1</v>
      </c>
      <c r="M4" s="404" t="s">
        <v>1048</v>
      </c>
    </row>
    <row r="5" spans="1:13" x14ac:dyDescent="0.25">
      <c r="A5" s="79">
        <v>1</v>
      </c>
      <c r="B5" s="404">
        <v>96.5</v>
      </c>
      <c r="C5" s="492">
        <v>0.96499999999999997</v>
      </c>
      <c r="F5" s="68" t="str">
        <f>'G-1 All Habitats'!B4</f>
        <v>Cropland - Arable field margins game bird mix</v>
      </c>
      <c r="G5" s="404" t="s">
        <v>1048</v>
      </c>
      <c r="H5" s="404" t="s">
        <v>1048</v>
      </c>
      <c r="I5" s="404" t="s">
        <v>1048</v>
      </c>
      <c r="J5" s="404" t="s">
        <v>1048</v>
      </c>
      <c r="K5" s="404" t="s">
        <v>1048</v>
      </c>
      <c r="L5" s="404">
        <v>1</v>
      </c>
      <c r="M5" s="404" t="s">
        <v>1048</v>
      </c>
    </row>
    <row r="6" spans="1:13" x14ac:dyDescent="0.25">
      <c r="A6" s="79">
        <v>2</v>
      </c>
      <c r="B6" s="404">
        <v>93.122500000000002</v>
      </c>
      <c r="C6" s="492">
        <v>0.93122499999999997</v>
      </c>
      <c r="F6" s="68" t="str">
        <f>'G-1 All Habitats'!B5</f>
        <v>Cropland - Arable field margins pollen and nectar</v>
      </c>
      <c r="G6" s="404" t="s">
        <v>1048</v>
      </c>
      <c r="H6" s="404" t="s">
        <v>1048</v>
      </c>
      <c r="I6" s="404" t="s">
        <v>1048</v>
      </c>
      <c r="J6" s="404" t="s">
        <v>1048</v>
      </c>
      <c r="K6" s="404" t="s">
        <v>1048</v>
      </c>
      <c r="L6" s="404">
        <v>1</v>
      </c>
      <c r="M6" s="404" t="s">
        <v>1048</v>
      </c>
    </row>
    <row r="7" spans="1:13" x14ac:dyDescent="0.25">
      <c r="A7" s="79">
        <v>3</v>
      </c>
      <c r="B7" s="404">
        <v>89.863212500000003</v>
      </c>
      <c r="C7" s="492">
        <v>0.898632125</v>
      </c>
      <c r="F7" s="68" t="str">
        <f>'G-1 All Habitats'!B6</f>
        <v>Cropland - Arable field margins tussocky</v>
      </c>
      <c r="G7" s="404" t="s">
        <v>1048</v>
      </c>
      <c r="H7" s="404" t="s">
        <v>1048</v>
      </c>
      <c r="I7" s="404" t="s">
        <v>1048</v>
      </c>
      <c r="J7" s="404" t="s">
        <v>1048</v>
      </c>
      <c r="K7" s="404" t="s">
        <v>1048</v>
      </c>
      <c r="L7" s="404">
        <v>1</v>
      </c>
      <c r="M7" s="404" t="s">
        <v>1048</v>
      </c>
    </row>
    <row r="8" spans="1:13" x14ac:dyDescent="0.25">
      <c r="A8" s="79">
        <v>4</v>
      </c>
      <c r="B8" s="404">
        <v>86.718000059999994</v>
      </c>
      <c r="C8" s="492">
        <v>0.86718000059999989</v>
      </c>
      <c r="F8" s="68" t="str">
        <f>'G-1 All Habitats'!B7</f>
        <v>Cropland - Cereal crops</v>
      </c>
      <c r="G8" s="404" t="s">
        <v>1048</v>
      </c>
      <c r="H8" s="404" t="s">
        <v>1048</v>
      </c>
      <c r="I8" s="404" t="s">
        <v>1048</v>
      </c>
      <c r="J8" s="404" t="s">
        <v>1048</v>
      </c>
      <c r="K8" s="404" t="s">
        <v>1048</v>
      </c>
      <c r="L8" s="404">
        <v>1</v>
      </c>
      <c r="M8" s="404" t="s">
        <v>1048</v>
      </c>
    </row>
    <row r="9" spans="1:13" x14ac:dyDescent="0.25">
      <c r="A9" s="79">
        <v>5</v>
      </c>
      <c r="B9" s="404">
        <v>83.682870059999999</v>
      </c>
      <c r="C9" s="492">
        <v>0.83682870060000003</v>
      </c>
      <c r="F9" s="68" t="str">
        <f>'G-1 All Habitats'!B8</f>
        <v>Cropland - Winter stubble</v>
      </c>
      <c r="G9" s="404" t="s">
        <v>1048</v>
      </c>
      <c r="H9" s="404" t="s">
        <v>1048</v>
      </c>
      <c r="I9" s="404" t="s">
        <v>1048</v>
      </c>
      <c r="J9" s="404" t="s">
        <v>1048</v>
      </c>
      <c r="K9" s="404" t="s">
        <v>1048</v>
      </c>
      <c r="L9" s="404">
        <v>1</v>
      </c>
      <c r="M9" s="404" t="s">
        <v>1048</v>
      </c>
    </row>
    <row r="10" spans="1:13" x14ac:dyDescent="0.25">
      <c r="A10" s="79">
        <v>6</v>
      </c>
      <c r="B10" s="404">
        <v>80.753969609999999</v>
      </c>
      <c r="C10" s="492">
        <v>0.80753969609999998</v>
      </c>
      <c r="F10" s="68" t="str">
        <f>'G-1 All Habitats'!B9</f>
        <v>Cropland - Horticulture</v>
      </c>
      <c r="G10" s="404" t="s">
        <v>1048</v>
      </c>
      <c r="H10" s="404" t="s">
        <v>1048</v>
      </c>
      <c r="I10" s="404" t="s">
        <v>1048</v>
      </c>
      <c r="J10" s="404" t="s">
        <v>1048</v>
      </c>
      <c r="K10" s="404" t="s">
        <v>1048</v>
      </c>
      <c r="L10" s="404">
        <v>1</v>
      </c>
      <c r="M10" s="404" t="s">
        <v>1048</v>
      </c>
    </row>
    <row r="11" spans="1:13" x14ac:dyDescent="0.25">
      <c r="A11" s="79">
        <v>7</v>
      </c>
      <c r="B11" s="404">
        <v>77.927580669999998</v>
      </c>
      <c r="C11" s="492">
        <v>0.77927580669999996</v>
      </c>
      <c r="F11" s="68" t="str">
        <f>'G-1 All Habitats'!B10</f>
        <v>Cropland - Intensive orchards</v>
      </c>
      <c r="G11" s="404" t="s">
        <v>1048</v>
      </c>
      <c r="H11" s="404" t="s">
        <v>1048</v>
      </c>
      <c r="I11" s="404" t="s">
        <v>1048</v>
      </c>
      <c r="J11" s="404" t="s">
        <v>1048</v>
      </c>
      <c r="K11" s="404" t="s">
        <v>1048</v>
      </c>
      <c r="L11" s="404">
        <v>1</v>
      </c>
      <c r="M11" s="404" t="s">
        <v>1048</v>
      </c>
    </row>
    <row r="12" spans="1:13" x14ac:dyDescent="0.25">
      <c r="A12" s="79">
        <v>8</v>
      </c>
      <c r="B12" s="404">
        <v>75.200115350000004</v>
      </c>
      <c r="C12" s="492">
        <v>0.75200115350000007</v>
      </c>
      <c r="F12" s="68" t="str">
        <f>'G-1 All Habitats'!B11</f>
        <v>Cropland - Non-cereal crops</v>
      </c>
      <c r="G12" s="404" t="s">
        <v>1048</v>
      </c>
      <c r="H12" s="404" t="s">
        <v>1048</v>
      </c>
      <c r="I12" s="404" t="s">
        <v>1048</v>
      </c>
      <c r="J12" s="404" t="s">
        <v>1048</v>
      </c>
      <c r="K12" s="404" t="s">
        <v>1048</v>
      </c>
      <c r="L12" s="404">
        <v>1</v>
      </c>
      <c r="M12" s="404" t="s">
        <v>1048</v>
      </c>
    </row>
    <row r="13" spans="1:13" x14ac:dyDescent="0.25">
      <c r="A13" s="79">
        <v>9</v>
      </c>
      <c r="B13" s="404">
        <v>72.568111310000006</v>
      </c>
      <c r="C13" s="492">
        <v>0.72568111310000005</v>
      </c>
      <c r="F13" s="68" t="str">
        <f>'G-1 All Habitats'!B12</f>
        <v>Cropland - Temporary grass and clover leys</v>
      </c>
      <c r="G13" s="404" t="s">
        <v>1048</v>
      </c>
      <c r="H13" s="404" t="s">
        <v>1048</v>
      </c>
      <c r="I13" s="404" t="s">
        <v>1048</v>
      </c>
      <c r="J13" s="404" t="s">
        <v>1048</v>
      </c>
      <c r="K13" s="404" t="s">
        <v>1048</v>
      </c>
      <c r="L13" s="404">
        <v>1</v>
      </c>
      <c r="M13" s="404" t="s">
        <v>1048</v>
      </c>
    </row>
    <row r="14" spans="1:13" x14ac:dyDescent="0.25">
      <c r="A14" s="79">
        <v>10</v>
      </c>
      <c r="B14" s="404">
        <v>70.028227419999993</v>
      </c>
      <c r="C14" s="492">
        <v>0.70028227419999989</v>
      </c>
      <c r="F14" s="68" t="str">
        <f>'G-1 All Habitats'!B13</f>
        <v>Grassland - Traditional orchards</v>
      </c>
      <c r="G14" s="404">
        <v>30</v>
      </c>
      <c r="H14" s="404">
        <v>25</v>
      </c>
      <c r="I14" s="404">
        <v>20</v>
      </c>
      <c r="J14" s="404">
        <v>10</v>
      </c>
      <c r="K14" s="404">
        <v>5</v>
      </c>
      <c r="L14" s="404" t="s">
        <v>1048</v>
      </c>
      <c r="M14" s="404" t="s">
        <v>1048</v>
      </c>
    </row>
    <row r="15" spans="1:13" x14ac:dyDescent="0.25">
      <c r="A15" s="79">
        <v>11</v>
      </c>
      <c r="B15" s="404">
        <v>67.577239460000001</v>
      </c>
      <c r="C15" s="492">
        <v>0.67577239460000005</v>
      </c>
      <c r="F15" s="68" t="str">
        <f>'G-1 All Habitats'!B14</f>
        <v>Grassland - Bracken</v>
      </c>
      <c r="G15" s="404" t="s">
        <v>1048</v>
      </c>
      <c r="H15" s="404" t="s">
        <v>1048</v>
      </c>
      <c r="I15" s="404" t="s">
        <v>1048</v>
      </c>
      <c r="J15" s="404" t="s">
        <v>1048</v>
      </c>
      <c r="K15" s="404" t="s">
        <v>1048</v>
      </c>
      <c r="L15" s="404">
        <v>1</v>
      </c>
      <c r="M15" s="404" t="s">
        <v>1048</v>
      </c>
    </row>
    <row r="16" spans="1:13" x14ac:dyDescent="0.25">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1048</v>
      </c>
      <c r="M16" s="404" t="s">
        <v>1048</v>
      </c>
    </row>
    <row r="17" spans="1:13" x14ac:dyDescent="0.25">
      <c r="A17" s="79">
        <v>13</v>
      </c>
      <c r="B17" s="404">
        <v>62.929614809999997</v>
      </c>
      <c r="C17" s="492">
        <v>0.62929614810000001</v>
      </c>
      <c r="F17" s="68" t="str">
        <f>'G-1 All Habitats'!B16</f>
        <v>Grassland - Lowland calcareous grassland</v>
      </c>
      <c r="G17" s="404">
        <v>20</v>
      </c>
      <c r="H17" s="404">
        <v>15</v>
      </c>
      <c r="I17" s="404">
        <v>10</v>
      </c>
      <c r="J17" s="404">
        <v>8</v>
      </c>
      <c r="K17" s="404">
        <v>5</v>
      </c>
      <c r="L17" s="404" t="s">
        <v>1048</v>
      </c>
      <c r="M17" s="404" t="s">
        <v>1048</v>
      </c>
    </row>
    <row r="18" spans="1:13" x14ac:dyDescent="0.25">
      <c r="A18" s="79">
        <v>14</v>
      </c>
      <c r="B18" s="404">
        <v>60.727078290000001</v>
      </c>
      <c r="C18" s="492">
        <v>0.60727078290000003</v>
      </c>
      <c r="F18" s="68" t="str">
        <f>'G-1 All Habitats'!B17</f>
        <v>Grassland - Lowland dry acid grassland</v>
      </c>
      <c r="G18" s="404" t="s">
        <v>1049</v>
      </c>
      <c r="H18" s="404">
        <v>25</v>
      </c>
      <c r="I18" s="404">
        <v>20</v>
      </c>
      <c r="J18" s="404">
        <v>15</v>
      </c>
      <c r="K18" s="404">
        <v>10</v>
      </c>
      <c r="L18" s="404" t="s">
        <v>1048</v>
      </c>
      <c r="M18" s="404" t="s">
        <v>1048</v>
      </c>
    </row>
    <row r="19" spans="1:13" x14ac:dyDescent="0.25">
      <c r="A19" s="79">
        <v>15</v>
      </c>
      <c r="B19" s="404">
        <v>58.601630550000003</v>
      </c>
      <c r="C19" s="492">
        <v>0.58601630550000006</v>
      </c>
      <c r="F19" s="68" t="str">
        <f>'G-1 All Habitats'!B18</f>
        <v>Grassland - Lowland meadows</v>
      </c>
      <c r="G19" s="404">
        <v>15</v>
      </c>
      <c r="H19" s="404">
        <v>12</v>
      </c>
      <c r="I19" s="404">
        <v>10</v>
      </c>
      <c r="J19" s="404">
        <v>8</v>
      </c>
      <c r="K19" s="404">
        <v>5</v>
      </c>
      <c r="L19" s="404" t="s">
        <v>1048</v>
      </c>
      <c r="M19" s="404" t="s">
        <v>1048</v>
      </c>
    </row>
    <row r="20" spans="1:13" x14ac:dyDescent="0.25">
      <c r="A20" s="79">
        <v>16</v>
      </c>
      <c r="B20" s="404">
        <v>56.550573479999997</v>
      </c>
      <c r="C20" s="492">
        <v>0.56550573479999999</v>
      </c>
      <c r="F20" s="68" t="str">
        <f>'G-1 All Habitats'!B19</f>
        <v>Grassland - Modified grassland</v>
      </c>
      <c r="G20" s="404">
        <v>7</v>
      </c>
      <c r="H20" s="404">
        <v>5</v>
      </c>
      <c r="I20" s="404">
        <v>4</v>
      </c>
      <c r="J20" s="404">
        <v>2</v>
      </c>
      <c r="K20" s="404">
        <v>1</v>
      </c>
      <c r="L20" s="404" t="s">
        <v>1048</v>
      </c>
      <c r="M20" s="404" t="s">
        <v>1048</v>
      </c>
    </row>
    <row r="21" spans="1:13" ht="15" customHeight="1" x14ac:dyDescent="0.25">
      <c r="A21" s="79">
        <v>17</v>
      </c>
      <c r="B21" s="404">
        <v>54.571303409999999</v>
      </c>
      <c r="C21" s="492">
        <v>0.54571303409999994</v>
      </c>
      <c r="F21" s="68" t="str">
        <f>'G-1 All Habitats'!B20</f>
        <v>Grassland - Other lowland acid grassland</v>
      </c>
      <c r="G21" s="404">
        <v>15</v>
      </c>
      <c r="H21" s="404">
        <v>12</v>
      </c>
      <c r="I21" s="404">
        <v>10</v>
      </c>
      <c r="J21" s="404">
        <v>5</v>
      </c>
      <c r="K21" s="404">
        <v>1</v>
      </c>
      <c r="L21" s="404" t="s">
        <v>1048</v>
      </c>
      <c r="M21" s="404" t="s">
        <v>1048</v>
      </c>
    </row>
    <row r="22" spans="1:13" ht="15" customHeight="1" x14ac:dyDescent="0.25">
      <c r="A22" s="79">
        <v>18</v>
      </c>
      <c r="B22" s="404">
        <v>52.661307790000002</v>
      </c>
      <c r="C22" s="492">
        <v>0.5266130779</v>
      </c>
      <c r="F22" s="68" t="str">
        <f>'G-1 All Habitats'!B21</f>
        <v>Grassland - Other neutral grassland</v>
      </c>
      <c r="G22" s="404">
        <v>10</v>
      </c>
      <c r="H22" s="404">
        <v>7</v>
      </c>
      <c r="I22" s="404">
        <v>5</v>
      </c>
      <c r="J22" s="404">
        <v>3</v>
      </c>
      <c r="K22" s="404">
        <v>2</v>
      </c>
      <c r="L22" s="404" t="s">
        <v>1048</v>
      </c>
      <c r="M22" s="404" t="s">
        <v>1048</v>
      </c>
    </row>
    <row r="23" spans="1:13" ht="15" customHeight="1" x14ac:dyDescent="0.25">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1048</v>
      </c>
      <c r="M23" s="404" t="s">
        <v>1048</v>
      </c>
    </row>
    <row r="24" spans="1:13" ht="15" customHeight="1" x14ac:dyDescent="0.25">
      <c r="A24" s="79">
        <v>20</v>
      </c>
      <c r="B24" s="404">
        <v>49.039526350000003</v>
      </c>
      <c r="C24" s="492">
        <v>0.49039526350000001</v>
      </c>
      <c r="F24" s="68" t="str">
        <f>'G-1 All Habitats'!B23</f>
        <v>Grassland - Upland acid grassland</v>
      </c>
      <c r="G24" s="404">
        <v>15</v>
      </c>
      <c r="H24" s="404">
        <v>12</v>
      </c>
      <c r="I24" s="404">
        <v>10</v>
      </c>
      <c r="J24" s="404">
        <v>5</v>
      </c>
      <c r="K24" s="404">
        <v>1</v>
      </c>
      <c r="L24" s="404" t="s">
        <v>1048</v>
      </c>
      <c r="M24" s="404" t="s">
        <v>1048</v>
      </c>
    </row>
    <row r="25" spans="1:13" ht="15" customHeight="1" x14ac:dyDescent="0.25">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1048</v>
      </c>
      <c r="M25" s="404" t="s">
        <v>1048</v>
      </c>
    </row>
    <row r="26" spans="1:13" ht="15" customHeight="1" x14ac:dyDescent="0.25">
      <c r="A26" s="79">
        <v>22</v>
      </c>
      <c r="B26" s="404">
        <v>45.666832919999997</v>
      </c>
      <c r="C26" s="492">
        <v>0.4566683292</v>
      </c>
      <c r="F26" s="68" t="str">
        <f>'G-1 All Habitats'!B25</f>
        <v>Grassland - Upland hay meadows</v>
      </c>
      <c r="G26" s="404">
        <v>20</v>
      </c>
      <c r="H26" s="404">
        <v>18</v>
      </c>
      <c r="I26" s="404">
        <v>15</v>
      </c>
      <c r="J26" s="404">
        <v>12</v>
      </c>
      <c r="K26" s="404">
        <v>10</v>
      </c>
      <c r="L26" s="404" t="s">
        <v>1048</v>
      </c>
      <c r="M26" s="404" t="s">
        <v>1048</v>
      </c>
    </row>
    <row r="27" spans="1:13" x14ac:dyDescent="0.25">
      <c r="A27" s="79">
        <v>23</v>
      </c>
      <c r="B27" s="404">
        <v>44.068493770000003</v>
      </c>
      <c r="C27" s="492">
        <v>0.44068493770000006</v>
      </c>
      <c r="F27" s="68" t="str">
        <f>'G-1 All Habitats'!B26</f>
        <v>Heathland and shrub - Blackthorn scrub</v>
      </c>
      <c r="G27" s="404">
        <v>10</v>
      </c>
      <c r="H27" s="404">
        <v>7</v>
      </c>
      <c r="I27" s="404">
        <v>5</v>
      </c>
      <c r="J27" s="404">
        <v>3</v>
      </c>
      <c r="K27" s="404">
        <v>1</v>
      </c>
      <c r="L27" s="404" t="s">
        <v>1048</v>
      </c>
      <c r="M27" s="404" t="s">
        <v>1048</v>
      </c>
    </row>
    <row r="28" spans="1:13" x14ac:dyDescent="0.25">
      <c r="A28" s="79">
        <v>24</v>
      </c>
      <c r="B28" s="404">
        <v>42.52609649</v>
      </c>
      <c r="C28" s="492">
        <v>0.42526096489999998</v>
      </c>
      <c r="F28" s="68" t="str">
        <f>'G-1 All Habitats'!B27</f>
        <v>Heathland and shrub - Bramble scrub</v>
      </c>
      <c r="G28" s="404" t="s">
        <v>1048</v>
      </c>
      <c r="H28" s="404" t="s">
        <v>1048</v>
      </c>
      <c r="I28" s="404" t="s">
        <v>1048</v>
      </c>
      <c r="J28" s="404" t="s">
        <v>1048</v>
      </c>
      <c r="K28" s="404" t="s">
        <v>1048</v>
      </c>
      <c r="L28" s="404">
        <v>1</v>
      </c>
      <c r="M28" s="404" t="s">
        <v>1048</v>
      </c>
    </row>
    <row r="29" spans="1:13" x14ac:dyDescent="0.25">
      <c r="A29" s="79">
        <v>25</v>
      </c>
      <c r="B29" s="404">
        <v>41.037683110000003</v>
      </c>
      <c r="C29" s="492">
        <v>0.41037683110000001</v>
      </c>
      <c r="F29" s="68" t="str">
        <f>'G-1 All Habitats'!B28</f>
        <v>Heathland and shrub - Gorse scrub</v>
      </c>
      <c r="G29" s="404">
        <v>10</v>
      </c>
      <c r="H29" s="404">
        <v>7</v>
      </c>
      <c r="I29" s="404">
        <v>5</v>
      </c>
      <c r="J29" s="404">
        <v>3</v>
      </c>
      <c r="K29" s="404">
        <v>1</v>
      </c>
      <c r="L29" s="404" t="s">
        <v>1048</v>
      </c>
      <c r="M29" s="404" t="s">
        <v>1048</v>
      </c>
    </row>
    <row r="30" spans="1:13" x14ac:dyDescent="0.25">
      <c r="A30" s="79">
        <v>26</v>
      </c>
      <c r="B30" s="404">
        <v>39.601364199999999</v>
      </c>
      <c r="C30" s="492">
        <v>0.396013642</v>
      </c>
      <c r="F30" s="68" t="str">
        <f>'G-1 All Habitats'!B29</f>
        <v>Heathland and shrub - Hawthorn scrub</v>
      </c>
      <c r="G30" s="404">
        <v>10</v>
      </c>
      <c r="H30" s="404">
        <v>7</v>
      </c>
      <c r="I30" s="404">
        <v>5</v>
      </c>
      <c r="J30" s="404">
        <v>3</v>
      </c>
      <c r="K30" s="404">
        <v>1</v>
      </c>
      <c r="L30" s="404" t="s">
        <v>1048</v>
      </c>
      <c r="M30" s="404" t="s">
        <v>1048</v>
      </c>
    </row>
    <row r="31" spans="1:13" x14ac:dyDescent="0.25">
      <c r="A31" s="79">
        <v>27</v>
      </c>
      <c r="B31" s="404">
        <v>38.215316459999997</v>
      </c>
      <c r="C31" s="492">
        <v>0.38215316459999998</v>
      </c>
      <c r="F31" s="68" t="str">
        <f>'G-1 All Habitats'!B30</f>
        <v>Heathland and shrub - Hazel scrub</v>
      </c>
      <c r="G31" s="404">
        <v>15</v>
      </c>
      <c r="H31" s="404">
        <v>12</v>
      </c>
      <c r="I31" s="404">
        <v>10</v>
      </c>
      <c r="J31" s="404">
        <v>7</v>
      </c>
      <c r="K31" s="404">
        <v>5</v>
      </c>
      <c r="L31" s="404" t="s">
        <v>1048</v>
      </c>
      <c r="M31" s="404" t="s">
        <v>1048</v>
      </c>
    </row>
    <row r="32" spans="1:13" x14ac:dyDescent="0.25">
      <c r="A32" s="79">
        <v>28</v>
      </c>
      <c r="B32" s="404">
        <v>36.877780379999997</v>
      </c>
      <c r="C32" s="492">
        <v>0.36877780379999997</v>
      </c>
      <c r="F32" s="68" t="s">
        <v>606</v>
      </c>
      <c r="G32" s="404">
        <v>15</v>
      </c>
      <c r="H32" s="404">
        <v>12</v>
      </c>
      <c r="I32" s="404">
        <v>10</v>
      </c>
      <c r="J32" s="404">
        <v>7</v>
      </c>
      <c r="K32" s="404">
        <v>5</v>
      </c>
      <c r="L32" s="404" t="s">
        <v>1048</v>
      </c>
      <c r="M32" s="404" t="s">
        <v>1048</v>
      </c>
    </row>
    <row r="33" spans="1:13" x14ac:dyDescent="0.25">
      <c r="A33" s="79">
        <v>29</v>
      </c>
      <c r="B33" s="404">
        <v>35.587058069999998</v>
      </c>
      <c r="C33" s="492">
        <v>0.35587058069999999</v>
      </c>
      <c r="F33" s="68" t="str">
        <f>'G-1 All Habitats'!B31</f>
        <v>Heathland and shrub - Lowland heathland</v>
      </c>
      <c r="G33" s="404" t="s">
        <v>1049</v>
      </c>
      <c r="H33" s="404">
        <v>25</v>
      </c>
      <c r="I33" s="404">
        <v>20</v>
      </c>
      <c r="J33" s="404">
        <v>15</v>
      </c>
      <c r="K33" s="404">
        <v>10</v>
      </c>
      <c r="L33" s="404" t="s">
        <v>1048</v>
      </c>
      <c r="M33" s="404" t="s">
        <v>1048</v>
      </c>
    </row>
    <row r="34" spans="1:13" x14ac:dyDescent="0.25">
      <c r="A34" s="79">
        <v>30</v>
      </c>
      <c r="B34" s="404">
        <v>34.34151104</v>
      </c>
      <c r="C34" s="492">
        <v>0.3434151104</v>
      </c>
      <c r="F34" s="68" t="str">
        <f>'G-1 All Habitats'!B32</f>
        <v>Heathland and shrub - Mixed scrub</v>
      </c>
      <c r="G34" s="404">
        <v>10</v>
      </c>
      <c r="H34" s="404">
        <v>7</v>
      </c>
      <c r="I34" s="404">
        <v>5</v>
      </c>
      <c r="J34" s="404">
        <v>3</v>
      </c>
      <c r="K34" s="404">
        <v>1</v>
      </c>
      <c r="L34" s="404" t="s">
        <v>1048</v>
      </c>
      <c r="M34" s="404" t="s">
        <v>1048</v>
      </c>
    </row>
    <row r="35" spans="1:13" x14ac:dyDescent="0.25">
      <c r="A35" s="79">
        <v>31</v>
      </c>
      <c r="B35" s="404">
        <v>33.139558149999999</v>
      </c>
      <c r="C35" s="492">
        <v>0.33139558149999998</v>
      </c>
      <c r="F35" s="68" t="str">
        <f>'G-1 All Habitats'!B33</f>
        <v>Heathland and shrub - Mountain heaths and willow scrub</v>
      </c>
      <c r="G35" s="404" t="s">
        <v>1049</v>
      </c>
      <c r="H35" s="404" t="s">
        <v>1049</v>
      </c>
      <c r="I35" s="404">
        <v>25</v>
      </c>
      <c r="J35" s="404">
        <v>23</v>
      </c>
      <c r="K35" s="404">
        <v>15</v>
      </c>
      <c r="L35" s="404" t="s">
        <v>1048</v>
      </c>
      <c r="M35" s="404" t="s">
        <v>1048</v>
      </c>
    </row>
    <row r="36" spans="1:13" x14ac:dyDescent="0.25">
      <c r="A36" s="79" t="s">
        <v>1049</v>
      </c>
      <c r="B36" s="441">
        <v>31.979673609999999</v>
      </c>
      <c r="C36" s="492">
        <v>0.31979673609999998</v>
      </c>
      <c r="F36" s="68" t="str">
        <f>'G-1 All Habitats'!B34</f>
        <v>Heathland and shrub - Rhododendron scrub</v>
      </c>
      <c r="G36" s="404" t="s">
        <v>1048</v>
      </c>
      <c r="H36" s="404" t="s">
        <v>1048</v>
      </c>
      <c r="I36" s="404" t="s">
        <v>1048</v>
      </c>
      <c r="J36" s="404" t="s">
        <v>1048</v>
      </c>
      <c r="K36" s="404" t="s">
        <v>1048</v>
      </c>
      <c r="L36" s="404">
        <v>1</v>
      </c>
      <c r="M36" s="404" t="s">
        <v>1048</v>
      </c>
    </row>
    <row r="37" spans="1:13" x14ac:dyDescent="0.25">
      <c r="A37" s="230" t="s">
        <v>1048</v>
      </c>
      <c r="B37" s="493" t="s">
        <v>1037</v>
      </c>
      <c r="C37" s="493" t="s">
        <v>1037</v>
      </c>
      <c r="F37" s="68" t="str">
        <f>'G-1 All Habitats'!B35</f>
        <v>Heathland and shrub - Dunes with sea buckthorn (H2160)</v>
      </c>
      <c r="G37" s="404">
        <v>10</v>
      </c>
      <c r="H37" s="404">
        <v>7</v>
      </c>
      <c r="I37" s="404">
        <v>5</v>
      </c>
      <c r="J37" s="404">
        <v>3</v>
      </c>
      <c r="K37" s="404">
        <v>1</v>
      </c>
      <c r="L37" s="404" t="s">
        <v>1048</v>
      </c>
      <c r="M37" s="404" t="s">
        <v>1048</v>
      </c>
    </row>
    <row r="38" spans="1:13" x14ac:dyDescent="0.25">
      <c r="F38" s="68" t="str">
        <f>'G-1 All Habitats'!B36</f>
        <v>Heathland and shrub - Other sea buckthorn scrub</v>
      </c>
      <c r="G38" s="404" t="s">
        <v>1048</v>
      </c>
      <c r="H38" s="404" t="s">
        <v>1048</v>
      </c>
      <c r="I38" s="404" t="s">
        <v>1048</v>
      </c>
      <c r="J38" s="404" t="s">
        <v>1048</v>
      </c>
      <c r="K38" s="404" t="s">
        <v>1048</v>
      </c>
      <c r="L38" s="404">
        <v>1</v>
      </c>
      <c r="M38" s="404" t="s">
        <v>1048</v>
      </c>
    </row>
    <row r="39" spans="1:13" x14ac:dyDescent="0.25">
      <c r="A39" s="33"/>
      <c r="B39" s="33"/>
      <c r="C39" s="33"/>
      <c r="F39" s="68" t="str">
        <f>'G-1 All Habitats'!B38</f>
        <v>Heathland and shrub - Upland heathland</v>
      </c>
      <c r="G39" s="404">
        <v>30</v>
      </c>
      <c r="H39" s="404">
        <v>25</v>
      </c>
      <c r="I39" s="404">
        <v>20</v>
      </c>
      <c r="J39" s="404">
        <v>15</v>
      </c>
      <c r="K39" s="404">
        <v>10</v>
      </c>
      <c r="L39" s="404" t="s">
        <v>1048</v>
      </c>
      <c r="M39" s="404" t="s">
        <v>1048</v>
      </c>
    </row>
    <row r="40" spans="1:13" ht="55.2" x14ac:dyDescent="0.25">
      <c r="A40" s="231" t="s">
        <v>1050</v>
      </c>
      <c r="B40" s="33"/>
      <c r="C40" s="33"/>
      <c r="F40" s="68" t="str">
        <f>'G-1 All Habitats'!B39</f>
        <v>Lakes - Aquifer fed naturally fluctuating water bodies</v>
      </c>
      <c r="G40" s="404">
        <v>30</v>
      </c>
      <c r="H40" s="404">
        <v>20</v>
      </c>
      <c r="I40" s="404">
        <v>15</v>
      </c>
      <c r="J40" s="404">
        <v>10</v>
      </c>
      <c r="K40" s="404">
        <v>1</v>
      </c>
      <c r="L40" s="404" t="s">
        <v>1048</v>
      </c>
      <c r="M40" s="404" t="s">
        <v>1048</v>
      </c>
    </row>
    <row r="41" spans="1:13" x14ac:dyDescent="0.25">
      <c r="A41" s="78" t="s">
        <v>1045</v>
      </c>
      <c r="B41" s="33"/>
      <c r="C41" s="33"/>
      <c r="F41" s="68" t="str">
        <f>'G-1 All Habitats'!B41</f>
        <v>Lakes - High alkalinity lakes</v>
      </c>
      <c r="G41" s="404">
        <v>30</v>
      </c>
      <c r="H41" s="404">
        <v>20</v>
      </c>
      <c r="I41" s="404">
        <v>10</v>
      </c>
      <c r="J41" s="404">
        <v>7</v>
      </c>
      <c r="K41" s="404">
        <v>5</v>
      </c>
      <c r="L41" s="404" t="s">
        <v>1048</v>
      </c>
      <c r="M41" s="404" t="s">
        <v>1048</v>
      </c>
    </row>
    <row r="42" spans="1:13" x14ac:dyDescent="0.25">
      <c r="A42" s="404">
        <v>0</v>
      </c>
      <c r="B42" s="33"/>
      <c r="C42" s="33"/>
      <c r="F42" s="68" t="str">
        <f>'G-1 All Habitats'!B42</f>
        <v>Lakes - Low alkalinity lakes</v>
      </c>
      <c r="G42" s="404">
        <v>30</v>
      </c>
      <c r="H42" s="404">
        <v>20</v>
      </c>
      <c r="I42" s="404">
        <v>10</v>
      </c>
      <c r="J42" s="404">
        <v>7</v>
      </c>
      <c r="K42" s="404">
        <v>5</v>
      </c>
      <c r="L42" s="404" t="s">
        <v>1048</v>
      </c>
      <c r="M42" s="404" t="s">
        <v>1048</v>
      </c>
    </row>
    <row r="43" spans="1:13" x14ac:dyDescent="0.25">
      <c r="A43" s="404">
        <v>1</v>
      </c>
      <c r="B43" s="33"/>
      <c r="C43" s="33"/>
      <c r="F43" s="68" t="str">
        <f>'G-1 All Habitats'!B43</f>
        <v>Lakes - Marl lakes</v>
      </c>
      <c r="G43" s="404">
        <v>30</v>
      </c>
      <c r="H43" s="404">
        <v>20</v>
      </c>
      <c r="I43" s="404">
        <v>10</v>
      </c>
      <c r="J43" s="404">
        <v>7</v>
      </c>
      <c r="K43" s="404">
        <v>5</v>
      </c>
      <c r="L43" s="404" t="s">
        <v>1048</v>
      </c>
      <c r="M43" s="404" t="s">
        <v>1048</v>
      </c>
    </row>
    <row r="44" spans="1:13" x14ac:dyDescent="0.25">
      <c r="A44" s="404">
        <v>2</v>
      </c>
      <c r="B44" s="33"/>
      <c r="C44" s="33"/>
      <c r="F44" s="68" t="str">
        <f>'G-1 All Habitats'!B44</f>
        <v>Lakes - Moderate alkalinity lakes</v>
      </c>
      <c r="G44" s="404">
        <v>30</v>
      </c>
      <c r="H44" s="404">
        <v>20</v>
      </c>
      <c r="I44" s="404">
        <v>10</v>
      </c>
      <c r="J44" s="404">
        <v>7</v>
      </c>
      <c r="K44" s="404">
        <v>5</v>
      </c>
      <c r="L44" s="404" t="s">
        <v>1048</v>
      </c>
      <c r="M44" s="404" t="s">
        <v>1048</v>
      </c>
    </row>
    <row r="45" spans="1:13" x14ac:dyDescent="0.25">
      <c r="A45" s="404">
        <v>3</v>
      </c>
      <c r="B45" s="33"/>
      <c r="C45" s="33"/>
      <c r="F45" s="68" t="str">
        <f>'G-1 All Habitats'!B45</f>
        <v>Lakes - Peat lakes</v>
      </c>
      <c r="G45" s="404">
        <v>30</v>
      </c>
      <c r="H45" s="404">
        <v>20</v>
      </c>
      <c r="I45" s="404">
        <v>10</v>
      </c>
      <c r="J45" s="404">
        <v>7</v>
      </c>
      <c r="K45" s="404">
        <v>5</v>
      </c>
      <c r="L45" s="404" t="s">
        <v>1048</v>
      </c>
      <c r="M45" s="404" t="s">
        <v>1048</v>
      </c>
    </row>
    <row r="46" spans="1:13" x14ac:dyDescent="0.25">
      <c r="A46" s="404">
        <v>4</v>
      </c>
      <c r="B46" s="33"/>
      <c r="C46" s="33"/>
      <c r="F46" s="68" t="str">
        <f>'G-1 All Habitats'!B46</f>
        <v>Lakes - Ponds (priority habitat)</v>
      </c>
      <c r="G46" s="404">
        <v>5</v>
      </c>
      <c r="H46" s="404">
        <v>4</v>
      </c>
      <c r="I46" s="404">
        <v>3</v>
      </c>
      <c r="J46" s="404">
        <v>2</v>
      </c>
      <c r="K46" s="404">
        <v>1</v>
      </c>
      <c r="L46" s="404" t="s">
        <v>1048</v>
      </c>
      <c r="M46" s="404" t="s">
        <v>1048</v>
      </c>
    </row>
    <row r="47" spans="1:13" x14ac:dyDescent="0.25">
      <c r="A47" s="404">
        <v>5</v>
      </c>
      <c r="B47" s="33"/>
      <c r="C47" s="33"/>
      <c r="F47" s="68" t="str">
        <f>'G-1 All Habitats'!B47</f>
        <v>Lakes - Ponds (non-priority habitat)</v>
      </c>
      <c r="G47" s="404">
        <v>5</v>
      </c>
      <c r="H47" s="404">
        <v>4</v>
      </c>
      <c r="I47" s="404">
        <v>3</v>
      </c>
      <c r="J47" s="404">
        <v>2</v>
      </c>
      <c r="K47" s="404">
        <v>1</v>
      </c>
      <c r="L47" s="404" t="s">
        <v>1048</v>
      </c>
      <c r="M47" s="404" t="s">
        <v>1048</v>
      </c>
    </row>
    <row r="48" spans="1:13" x14ac:dyDescent="0.25">
      <c r="A48" s="404">
        <v>6</v>
      </c>
      <c r="B48" s="33"/>
      <c r="C48" s="33"/>
      <c r="F48" s="68" t="str">
        <f>'G-1 All Habitats'!B48</f>
        <v>Lakes - Reservoirs</v>
      </c>
      <c r="G48" s="404">
        <v>10</v>
      </c>
      <c r="H48" s="404">
        <v>7</v>
      </c>
      <c r="I48" s="404">
        <v>5</v>
      </c>
      <c r="J48" s="404">
        <v>3</v>
      </c>
      <c r="K48" s="404">
        <v>1</v>
      </c>
      <c r="L48" s="404" t="s">
        <v>1048</v>
      </c>
      <c r="M48" s="404" t="s">
        <v>1048</v>
      </c>
    </row>
    <row r="49" spans="1:13" x14ac:dyDescent="0.25">
      <c r="A49" s="404">
        <v>7</v>
      </c>
      <c r="B49" s="33"/>
      <c r="C49" s="33"/>
      <c r="F49" s="68" t="str">
        <f>'G-1 All Habitats'!B49</f>
        <v>Lakes - Temporary lakes ponds and pools (H3170)</v>
      </c>
      <c r="G49" s="404">
        <v>5</v>
      </c>
      <c r="H49" s="404">
        <v>4</v>
      </c>
      <c r="I49" s="404">
        <v>3</v>
      </c>
      <c r="J49" s="404">
        <v>2</v>
      </c>
      <c r="K49" s="404">
        <v>1</v>
      </c>
      <c r="L49" s="404" t="s">
        <v>1048</v>
      </c>
      <c r="M49" s="404" t="s">
        <v>1048</v>
      </c>
    </row>
    <row r="50" spans="1:13" x14ac:dyDescent="0.25">
      <c r="A50" s="404">
        <v>8</v>
      </c>
      <c r="B50" s="33"/>
      <c r="C50" s="33"/>
      <c r="F50" s="68" t="str">
        <f>'G-1 All Habitats'!B50</f>
        <v>Sparsely vegetated land - Calaminarian grasslands</v>
      </c>
      <c r="G50" s="404">
        <v>10</v>
      </c>
      <c r="H50" s="404">
        <v>7</v>
      </c>
      <c r="I50" s="404">
        <v>5</v>
      </c>
      <c r="J50" s="404">
        <v>3</v>
      </c>
      <c r="K50" s="404">
        <v>2</v>
      </c>
      <c r="L50" s="404" t="s">
        <v>1048</v>
      </c>
      <c r="M50" s="404" t="s">
        <v>1048</v>
      </c>
    </row>
    <row r="51" spans="1:13" x14ac:dyDescent="0.25">
      <c r="A51" s="404">
        <v>9</v>
      </c>
      <c r="B51" s="33"/>
      <c r="C51" s="33"/>
      <c r="F51" s="68" t="str">
        <f>'G-1 All Habitats'!B51</f>
        <v>Sparsely vegetated land - Coastal sand dunes</v>
      </c>
      <c r="G51" s="404">
        <v>20</v>
      </c>
      <c r="H51" s="404">
        <v>15</v>
      </c>
      <c r="I51" s="404">
        <v>10</v>
      </c>
      <c r="J51" s="404">
        <v>7</v>
      </c>
      <c r="K51" s="404">
        <v>5</v>
      </c>
      <c r="L51" s="404" t="s">
        <v>1048</v>
      </c>
      <c r="M51" s="404" t="s">
        <v>1048</v>
      </c>
    </row>
    <row r="52" spans="1:13" x14ac:dyDescent="0.25">
      <c r="A52" s="404">
        <v>10</v>
      </c>
      <c r="B52" s="33"/>
      <c r="C52" s="33"/>
      <c r="F52" s="68" t="str">
        <f>'G-1 All Habitats'!B52</f>
        <v>Sparsely vegetated land - Coastal vegetated shingle</v>
      </c>
      <c r="G52" s="404">
        <v>20</v>
      </c>
      <c r="H52" s="404">
        <v>15</v>
      </c>
      <c r="I52" s="404">
        <v>10</v>
      </c>
      <c r="J52" s="404">
        <v>7</v>
      </c>
      <c r="K52" s="404">
        <v>5</v>
      </c>
      <c r="L52" s="404" t="s">
        <v>1048</v>
      </c>
      <c r="M52" s="404" t="s">
        <v>1048</v>
      </c>
    </row>
    <row r="53" spans="1:13" x14ac:dyDescent="0.25">
      <c r="A53" s="404">
        <v>11</v>
      </c>
      <c r="B53" s="33"/>
      <c r="C53" s="33"/>
      <c r="F53" s="68" t="str">
        <f>'G-1 All Habitats'!B53</f>
        <v>Sparsely vegetated land - Ruderal/Ephemeral</v>
      </c>
      <c r="G53" s="404">
        <v>5</v>
      </c>
      <c r="H53" s="404">
        <v>4</v>
      </c>
      <c r="I53" s="404">
        <v>3</v>
      </c>
      <c r="J53" s="404">
        <v>2</v>
      </c>
      <c r="K53" s="404">
        <v>1</v>
      </c>
      <c r="L53" s="404" t="s">
        <v>1048</v>
      </c>
      <c r="M53" s="404" t="s">
        <v>1048</v>
      </c>
    </row>
    <row r="54" spans="1:13" x14ac:dyDescent="0.25">
      <c r="A54" s="404">
        <v>12</v>
      </c>
      <c r="B54" s="33"/>
      <c r="C54" s="33"/>
      <c r="F54" s="68" t="s">
        <v>664</v>
      </c>
      <c r="G54" s="404">
        <v>5</v>
      </c>
      <c r="H54" s="404">
        <v>4</v>
      </c>
      <c r="I54" s="404">
        <v>3</v>
      </c>
      <c r="J54" s="404">
        <v>2</v>
      </c>
      <c r="K54" s="404">
        <v>1</v>
      </c>
      <c r="L54" s="404" t="s">
        <v>1048</v>
      </c>
      <c r="M54" s="404" t="s">
        <v>1048</v>
      </c>
    </row>
    <row r="55" spans="1:13" x14ac:dyDescent="0.25">
      <c r="A55" s="404">
        <v>13</v>
      </c>
      <c r="B55" s="33"/>
      <c r="C55" s="33"/>
      <c r="F55" s="68" t="str">
        <f>'G-1 All Habitats'!B55</f>
        <v>Sparsely vegetated land - Inland rock outcrop and scree habitats</v>
      </c>
      <c r="G55" s="404" t="s">
        <v>1049</v>
      </c>
      <c r="H55" s="404">
        <v>25</v>
      </c>
      <c r="I55" s="404">
        <v>20</v>
      </c>
      <c r="J55" s="404">
        <v>15</v>
      </c>
      <c r="K55" s="404">
        <v>10</v>
      </c>
      <c r="L55" s="404" t="s">
        <v>1048</v>
      </c>
      <c r="M55" s="404" t="s">
        <v>1048</v>
      </c>
    </row>
    <row r="56" spans="1:13" x14ac:dyDescent="0.25">
      <c r="A56" s="404">
        <v>14</v>
      </c>
      <c r="B56" s="33"/>
      <c r="C56" s="33"/>
      <c r="F56" s="68" t="str">
        <f>'G-1 All Habitats'!B56</f>
        <v>Sparsely vegetated land - Limestone pavement</v>
      </c>
      <c r="G56" s="404" t="s">
        <v>1049</v>
      </c>
      <c r="H56" s="404" t="s">
        <v>1049</v>
      </c>
      <c r="I56" s="404" t="s">
        <v>1049</v>
      </c>
      <c r="J56" s="404" t="s">
        <v>1049</v>
      </c>
      <c r="K56" s="404" t="s">
        <v>1049</v>
      </c>
      <c r="L56" s="404" t="s">
        <v>1048</v>
      </c>
      <c r="M56" s="404" t="s">
        <v>1048</v>
      </c>
    </row>
    <row r="57" spans="1:13" x14ac:dyDescent="0.25">
      <c r="A57" s="404">
        <v>15</v>
      </c>
      <c r="B57" s="33"/>
      <c r="C57" s="33"/>
      <c r="F57" s="68" t="str">
        <f>'G-1 All Habitats'!B57</f>
        <v>Sparsely vegetated land - Maritime cliff and slopes</v>
      </c>
      <c r="G57" s="404">
        <v>20</v>
      </c>
      <c r="H57" s="404">
        <v>15</v>
      </c>
      <c r="I57" s="404">
        <v>10</v>
      </c>
      <c r="J57" s="404">
        <v>7</v>
      </c>
      <c r="K57" s="404">
        <v>5</v>
      </c>
      <c r="L57" s="404" t="s">
        <v>1048</v>
      </c>
      <c r="M57" s="404" t="s">
        <v>1048</v>
      </c>
    </row>
    <row r="58" spans="1:13" x14ac:dyDescent="0.25">
      <c r="A58" s="404">
        <v>16</v>
      </c>
      <c r="B58" s="33"/>
      <c r="C58" s="33"/>
      <c r="F58" s="68" t="str">
        <f>'G-1 All Habitats'!B58</f>
        <v>Sparsely vegetated land - Other inland rock and scree</v>
      </c>
      <c r="G58" s="404">
        <v>20</v>
      </c>
      <c r="H58" s="404">
        <v>15</v>
      </c>
      <c r="I58" s="404">
        <v>10</v>
      </c>
      <c r="J58" s="404">
        <v>7</v>
      </c>
      <c r="K58" s="404">
        <v>5</v>
      </c>
      <c r="L58" s="404" t="s">
        <v>1048</v>
      </c>
      <c r="M58" s="404" t="s">
        <v>1048</v>
      </c>
    </row>
    <row r="59" spans="1:13" x14ac:dyDescent="0.25">
      <c r="A59" s="404">
        <v>17</v>
      </c>
      <c r="B59" s="33"/>
      <c r="C59" s="33"/>
      <c r="F59" s="68" t="str">
        <f>'G-1 All Habitats'!B59</f>
        <v>Urban - Allotments</v>
      </c>
      <c r="G59" s="404">
        <v>1</v>
      </c>
      <c r="H59" s="404">
        <v>1</v>
      </c>
      <c r="I59" s="404">
        <v>1</v>
      </c>
      <c r="J59" s="404">
        <v>1</v>
      </c>
      <c r="K59" s="404">
        <v>1</v>
      </c>
      <c r="L59" s="404" t="s">
        <v>1048</v>
      </c>
      <c r="M59" s="404" t="s">
        <v>1048</v>
      </c>
    </row>
    <row r="60" spans="1:13" x14ac:dyDescent="0.25">
      <c r="A60" s="404">
        <v>18</v>
      </c>
      <c r="B60" s="33"/>
      <c r="C60" s="33"/>
      <c r="F60" s="68" t="str">
        <f>'G-1 All Habitats'!B40</f>
        <v>Lakes - Ornamental lake or pond</v>
      </c>
      <c r="G60" s="404">
        <v>5</v>
      </c>
      <c r="H60" s="404">
        <v>4</v>
      </c>
      <c r="I60" s="404">
        <v>3</v>
      </c>
      <c r="J60" s="404">
        <v>2</v>
      </c>
      <c r="K60" s="404">
        <v>1</v>
      </c>
      <c r="L60" s="404" t="s">
        <v>1048</v>
      </c>
      <c r="M60" s="404" t="s">
        <v>1048</v>
      </c>
    </row>
    <row r="61" spans="1:13" x14ac:dyDescent="0.25">
      <c r="A61" s="404">
        <v>19</v>
      </c>
      <c r="B61" s="33"/>
      <c r="C61" s="33"/>
      <c r="F61" s="68" t="str">
        <f>'G-1 All Habitats'!B60</f>
        <v>Urban - Artificial unvegetated, unsealed surface</v>
      </c>
      <c r="G61" s="404" t="s">
        <v>1048</v>
      </c>
      <c r="H61" s="404" t="s">
        <v>1048</v>
      </c>
      <c r="I61" s="404" t="s">
        <v>1048</v>
      </c>
      <c r="J61" s="404" t="s">
        <v>1048</v>
      </c>
      <c r="K61" s="404" t="s">
        <v>1048</v>
      </c>
      <c r="L61" s="404" t="s">
        <v>1048</v>
      </c>
      <c r="M61" s="404">
        <v>0</v>
      </c>
    </row>
    <row r="62" spans="1:13" x14ac:dyDescent="0.25">
      <c r="A62" s="404">
        <v>20</v>
      </c>
      <c r="B62" s="33"/>
      <c r="C62" s="33"/>
      <c r="F62" s="68" t="str">
        <f>'G-1 All Habitats'!B61</f>
        <v>Urban - Bioswale</v>
      </c>
      <c r="G62" s="404">
        <v>3</v>
      </c>
      <c r="H62" s="404">
        <v>2</v>
      </c>
      <c r="I62" s="404">
        <v>1</v>
      </c>
      <c r="J62" s="404">
        <v>1</v>
      </c>
      <c r="K62" s="404">
        <v>1</v>
      </c>
      <c r="L62" s="404" t="s">
        <v>1048</v>
      </c>
      <c r="M62" s="404" t="s">
        <v>1048</v>
      </c>
    </row>
    <row r="63" spans="1:13" x14ac:dyDescent="0.25">
      <c r="A63" s="404">
        <v>21</v>
      </c>
      <c r="B63" s="33"/>
      <c r="C63" s="33"/>
      <c r="F63" s="68" t="str">
        <f>'G-1 All Habitats'!B62</f>
        <v>Urban - Intensive green roof</v>
      </c>
      <c r="G63" s="404">
        <v>5</v>
      </c>
      <c r="H63" s="404">
        <v>4</v>
      </c>
      <c r="I63" s="404">
        <v>3</v>
      </c>
      <c r="J63" s="404">
        <v>2</v>
      </c>
      <c r="K63" s="404">
        <v>1</v>
      </c>
      <c r="L63" s="404" t="s">
        <v>1048</v>
      </c>
      <c r="M63" s="404" t="s">
        <v>1048</v>
      </c>
    </row>
    <row r="64" spans="1:13" x14ac:dyDescent="0.25">
      <c r="A64" s="404">
        <v>22</v>
      </c>
      <c r="B64" s="33"/>
      <c r="C64" s="33"/>
      <c r="F64" s="68" t="str">
        <f>'G-1 All Habitats'!B63</f>
        <v>Urban - Built linear features</v>
      </c>
      <c r="G64" s="404" t="s">
        <v>1048</v>
      </c>
      <c r="H64" s="404" t="s">
        <v>1048</v>
      </c>
      <c r="I64" s="404" t="s">
        <v>1048</v>
      </c>
      <c r="J64" s="404" t="s">
        <v>1048</v>
      </c>
      <c r="K64" s="404" t="s">
        <v>1048</v>
      </c>
      <c r="L64" s="404" t="s">
        <v>1048</v>
      </c>
      <c r="M64" s="404">
        <v>0</v>
      </c>
    </row>
    <row r="65" spans="1:13" x14ac:dyDescent="0.25">
      <c r="A65" s="404">
        <v>23</v>
      </c>
      <c r="B65" s="33"/>
      <c r="C65" s="33"/>
      <c r="F65" s="68" t="str">
        <f>'G-1 All Habitats'!B64</f>
        <v>Urban - Cemeteries and churchyards</v>
      </c>
      <c r="G65" s="404">
        <v>20</v>
      </c>
      <c r="H65" s="404">
        <v>17</v>
      </c>
      <c r="I65" s="404">
        <v>15</v>
      </c>
      <c r="J65" s="404">
        <v>12</v>
      </c>
      <c r="K65" s="404">
        <v>10</v>
      </c>
      <c r="L65" s="404" t="s">
        <v>1048</v>
      </c>
      <c r="M65" s="404" t="s">
        <v>1048</v>
      </c>
    </row>
    <row r="66" spans="1:13" x14ac:dyDescent="0.25">
      <c r="A66" s="404">
        <v>24</v>
      </c>
      <c r="B66" s="33"/>
      <c r="C66" s="33"/>
      <c r="F66" s="68" t="str">
        <f>'G-1 All Habitats'!B65</f>
        <v>Urban - Developed land; sealed surface</v>
      </c>
      <c r="G66" s="404" t="s">
        <v>1048</v>
      </c>
      <c r="H66" s="404" t="s">
        <v>1048</v>
      </c>
      <c r="I66" s="404" t="s">
        <v>1048</v>
      </c>
      <c r="J66" s="404" t="s">
        <v>1048</v>
      </c>
      <c r="K66" s="404" t="s">
        <v>1048</v>
      </c>
      <c r="L66" s="404" t="s">
        <v>1048</v>
      </c>
      <c r="M66" s="404">
        <v>0</v>
      </c>
    </row>
    <row r="67" spans="1:13" x14ac:dyDescent="0.25">
      <c r="A67" s="404">
        <v>25</v>
      </c>
      <c r="B67" s="33"/>
      <c r="C67" s="33"/>
      <c r="F67" s="68" t="str">
        <f>'G-1 All Habitats'!B66</f>
        <v>Urban - Other green roof</v>
      </c>
      <c r="G67" s="404" t="s">
        <v>1048</v>
      </c>
      <c r="H67" s="404" t="s">
        <v>1048</v>
      </c>
      <c r="I67" s="404" t="s">
        <v>1048</v>
      </c>
      <c r="J67" s="404" t="s">
        <v>1048</v>
      </c>
      <c r="K67" s="404" t="s">
        <v>1048</v>
      </c>
      <c r="L67" s="404">
        <v>1</v>
      </c>
      <c r="M67" s="404" t="s">
        <v>1048</v>
      </c>
    </row>
    <row r="68" spans="1:13" x14ac:dyDescent="0.25">
      <c r="A68" s="404">
        <v>26</v>
      </c>
      <c r="B68" s="33"/>
      <c r="C68" s="33"/>
      <c r="F68" s="68" t="str">
        <f>'G-1 All Habitats'!B67</f>
        <v>Urban - Facade-bound green wall</v>
      </c>
      <c r="G68" s="404">
        <v>5</v>
      </c>
      <c r="H68" s="404">
        <v>4</v>
      </c>
      <c r="I68" s="404">
        <v>3</v>
      </c>
      <c r="J68" s="404">
        <v>2</v>
      </c>
      <c r="K68" s="404">
        <v>1</v>
      </c>
      <c r="L68" s="404" t="s">
        <v>1048</v>
      </c>
      <c r="M68" s="404" t="s">
        <v>1048</v>
      </c>
    </row>
    <row r="69" spans="1:13" x14ac:dyDescent="0.25">
      <c r="A69" s="404">
        <v>27</v>
      </c>
      <c r="B69" s="33"/>
      <c r="C69" s="33"/>
      <c r="F69" s="68" t="str">
        <f>'G-1 All Habitats'!B68</f>
        <v>Urban - Ground based green wall</v>
      </c>
      <c r="G69" s="404">
        <v>5</v>
      </c>
      <c r="H69" s="404">
        <v>4</v>
      </c>
      <c r="I69" s="404">
        <v>3</v>
      </c>
      <c r="J69" s="404">
        <v>2</v>
      </c>
      <c r="K69" s="404">
        <v>1</v>
      </c>
      <c r="L69" s="404" t="s">
        <v>1048</v>
      </c>
      <c r="M69" s="404" t="s">
        <v>1048</v>
      </c>
    </row>
    <row r="70" spans="1:13" x14ac:dyDescent="0.25">
      <c r="A70" s="404">
        <v>28</v>
      </c>
      <c r="B70" s="33"/>
      <c r="C70" s="33"/>
      <c r="F70" s="68" t="str">
        <f>'G-1 All Habitats'!B69</f>
        <v>Urban - Ground level planters</v>
      </c>
      <c r="G70" s="404" t="s">
        <v>1048</v>
      </c>
      <c r="H70" s="404" t="s">
        <v>1048</v>
      </c>
      <c r="I70" s="404" t="s">
        <v>1048</v>
      </c>
      <c r="J70" s="404" t="s">
        <v>1048</v>
      </c>
      <c r="K70" s="404" t="s">
        <v>1048</v>
      </c>
      <c r="L70" s="404">
        <v>1</v>
      </c>
      <c r="M70" s="404" t="s">
        <v>1048</v>
      </c>
    </row>
    <row r="71" spans="1:13" x14ac:dyDescent="0.25">
      <c r="A71" s="404">
        <v>29</v>
      </c>
      <c r="B71" s="33"/>
      <c r="C71" s="33"/>
      <c r="F71" s="68" t="str">
        <f>'G-1 All Habitats'!B70</f>
        <v>Urban - Biodiverse green roof</v>
      </c>
      <c r="G71" s="404">
        <v>10</v>
      </c>
      <c r="H71" s="404">
        <v>8</v>
      </c>
      <c r="I71" s="404">
        <v>5</v>
      </c>
      <c r="J71" s="404">
        <v>3</v>
      </c>
      <c r="K71" s="404">
        <v>1</v>
      </c>
      <c r="L71" s="404" t="s">
        <v>1048</v>
      </c>
      <c r="M71" s="404" t="s">
        <v>1048</v>
      </c>
    </row>
    <row r="72" spans="1:13" x14ac:dyDescent="0.25">
      <c r="A72" s="404">
        <v>30</v>
      </c>
      <c r="B72" s="33"/>
      <c r="C72" s="33"/>
      <c r="F72" s="68" t="str">
        <f>'G-1 All Habitats'!B71</f>
        <v>Urban - Introduced shrub</v>
      </c>
      <c r="G72" s="404" t="s">
        <v>1048</v>
      </c>
      <c r="H72" s="404" t="s">
        <v>1048</v>
      </c>
      <c r="I72" s="404" t="s">
        <v>1048</v>
      </c>
      <c r="J72" s="404" t="s">
        <v>1048</v>
      </c>
      <c r="K72" s="404" t="s">
        <v>1048</v>
      </c>
      <c r="L72" s="404">
        <v>1</v>
      </c>
      <c r="M72" s="404" t="s">
        <v>1048</v>
      </c>
    </row>
    <row r="73" spans="1:13" x14ac:dyDescent="0.25">
      <c r="A73" s="404" t="s">
        <v>1049</v>
      </c>
      <c r="B73" s="33"/>
      <c r="C73" s="33"/>
      <c r="F73" s="68" t="str">
        <f>'G-1 All Habitats'!B72</f>
        <v>Urban - Open mosaic habitats on previously developed land</v>
      </c>
      <c r="G73" s="404">
        <v>10</v>
      </c>
      <c r="H73" s="404">
        <v>7</v>
      </c>
      <c r="I73" s="404">
        <v>4</v>
      </c>
      <c r="J73" s="404">
        <v>2</v>
      </c>
      <c r="K73" s="404">
        <v>0</v>
      </c>
      <c r="L73" s="404" t="s">
        <v>1048</v>
      </c>
      <c r="M73" s="404" t="s">
        <v>1048</v>
      </c>
    </row>
    <row r="74" spans="1:13" x14ac:dyDescent="0.25">
      <c r="B74" s="33"/>
      <c r="C74" s="33"/>
      <c r="F74" s="68" t="str">
        <f>'G-1 All Habitats'!B73</f>
        <v>Urban - Rain garden</v>
      </c>
      <c r="G74" s="404">
        <v>5</v>
      </c>
      <c r="H74" s="404">
        <v>4</v>
      </c>
      <c r="I74" s="404">
        <v>3</v>
      </c>
      <c r="J74" s="404">
        <v>2</v>
      </c>
      <c r="K74" s="404">
        <v>1</v>
      </c>
      <c r="L74" s="404" t="s">
        <v>1048</v>
      </c>
      <c r="M74" s="404" t="s">
        <v>1048</v>
      </c>
    </row>
    <row r="75" spans="1:13" x14ac:dyDescent="0.25">
      <c r="A75" s="33"/>
      <c r="B75" s="33"/>
      <c r="C75" s="33"/>
      <c r="F75" s="68" t="str">
        <f>'G-1 All Habitats'!B74</f>
        <v>Urban - Actively worked sand pit quarry or open cast mine</v>
      </c>
      <c r="G75" s="404" t="s">
        <v>1048</v>
      </c>
      <c r="H75" s="404" t="s">
        <v>1048</v>
      </c>
      <c r="I75" s="404" t="s">
        <v>1048</v>
      </c>
      <c r="J75" s="404" t="s">
        <v>1048</v>
      </c>
      <c r="K75" s="404" t="s">
        <v>1048</v>
      </c>
      <c r="L75" s="404">
        <v>1</v>
      </c>
      <c r="M75" s="404" t="s">
        <v>1048</v>
      </c>
    </row>
    <row r="76" spans="1:13" x14ac:dyDescent="0.25">
      <c r="A76" s="33"/>
      <c r="B76" s="33"/>
      <c r="C76" s="33"/>
      <c r="F76" s="68" t="str">
        <f>'G-1 All Habitats'!B80</f>
        <v>Individual trees - Urban tree</v>
      </c>
      <c r="G76" s="404" t="s">
        <v>1049</v>
      </c>
      <c r="H76" s="404" t="s">
        <v>1049</v>
      </c>
      <c r="I76" s="404">
        <v>27</v>
      </c>
      <c r="J76" s="404">
        <v>19</v>
      </c>
      <c r="K76" s="404">
        <v>10</v>
      </c>
      <c r="L76" s="404" t="s">
        <v>1048</v>
      </c>
      <c r="M76" s="404" t="s">
        <v>1048</v>
      </c>
    </row>
    <row r="77" spans="1:13" x14ac:dyDescent="0.25">
      <c r="A77" s="33"/>
      <c r="B77" s="33"/>
      <c r="C77" s="33"/>
      <c r="F77" s="68" t="str">
        <f>'G-1 All Habitats'!B75</f>
        <v>Urban - Sustainable drainage system</v>
      </c>
      <c r="G77" s="404">
        <v>5</v>
      </c>
      <c r="H77" s="404">
        <v>4</v>
      </c>
      <c r="I77" s="404">
        <v>3</v>
      </c>
      <c r="J77" s="404">
        <v>2</v>
      </c>
      <c r="K77" s="404">
        <v>1</v>
      </c>
      <c r="L77" s="404" t="s">
        <v>1048</v>
      </c>
      <c r="M77" s="404" t="s">
        <v>1048</v>
      </c>
    </row>
    <row r="78" spans="1:13" x14ac:dyDescent="0.25">
      <c r="A78" s="33"/>
      <c r="B78" s="33"/>
      <c r="C78" s="33"/>
      <c r="F78" s="68" t="str">
        <f>'G-1 All Habitats'!B76</f>
        <v>Urban - Unvegetated garden</v>
      </c>
      <c r="G78" s="404" t="s">
        <v>1048</v>
      </c>
      <c r="H78" s="404" t="s">
        <v>1048</v>
      </c>
      <c r="I78" s="404" t="s">
        <v>1048</v>
      </c>
      <c r="J78" s="404" t="s">
        <v>1048</v>
      </c>
      <c r="K78" s="404" t="s">
        <v>1048</v>
      </c>
      <c r="L78" s="404" t="s">
        <v>1048</v>
      </c>
      <c r="M78" s="404">
        <v>0</v>
      </c>
    </row>
    <row r="79" spans="1:13" x14ac:dyDescent="0.25">
      <c r="A79" s="33"/>
      <c r="B79" s="33"/>
      <c r="C79" s="33"/>
      <c r="F79" s="68" t="str">
        <f>'G-1 All Habitats'!B77</f>
        <v>Urban - Vacant or derelict land</v>
      </c>
      <c r="G79" s="404">
        <v>5</v>
      </c>
      <c r="H79" s="404">
        <v>4</v>
      </c>
      <c r="I79" s="404">
        <v>3</v>
      </c>
      <c r="J79" s="404">
        <v>2</v>
      </c>
      <c r="K79" s="404">
        <v>1</v>
      </c>
      <c r="L79" s="404" t="s">
        <v>1048</v>
      </c>
      <c r="M79" s="404" t="s">
        <v>1048</v>
      </c>
    </row>
    <row r="80" spans="1:13" x14ac:dyDescent="0.25">
      <c r="A80" s="33"/>
      <c r="B80" s="33"/>
      <c r="C80" s="33"/>
      <c r="F80" s="68" t="s">
        <v>735</v>
      </c>
      <c r="G80" s="404">
        <v>5</v>
      </c>
      <c r="H80" s="404">
        <v>4</v>
      </c>
      <c r="I80" s="404">
        <v>3</v>
      </c>
      <c r="J80" s="404">
        <v>2</v>
      </c>
      <c r="K80" s="404">
        <v>1</v>
      </c>
      <c r="L80" s="404" t="s">
        <v>1048</v>
      </c>
      <c r="M80" s="404" t="s">
        <v>1048</v>
      </c>
    </row>
    <row r="81" spans="1:13" x14ac:dyDescent="0.25">
      <c r="A81" s="33"/>
      <c r="B81" s="33"/>
      <c r="C81" s="33"/>
      <c r="F81" s="68" t="str">
        <f>'G-1 All Habitats'!B79</f>
        <v>Urban - Vegetated garden</v>
      </c>
      <c r="G81" s="404" t="s">
        <v>1048</v>
      </c>
      <c r="H81" s="404" t="s">
        <v>1048</v>
      </c>
      <c r="I81" s="404" t="s">
        <v>1048</v>
      </c>
      <c r="J81" s="404" t="s">
        <v>1048</v>
      </c>
      <c r="K81" s="404" t="s">
        <v>1048</v>
      </c>
      <c r="L81" s="404">
        <v>1</v>
      </c>
      <c r="M81" s="404" t="s">
        <v>1048</v>
      </c>
    </row>
    <row r="82" spans="1:13" x14ac:dyDescent="0.25">
      <c r="A82" s="33"/>
      <c r="B82" s="33"/>
      <c r="C82" s="33"/>
      <c r="F82" s="68" t="str">
        <f>'G-1 All Habitats'!B82</f>
        <v>Wetland - Blanket bog</v>
      </c>
      <c r="G82" s="404" t="s">
        <v>1049</v>
      </c>
      <c r="H82" s="404" t="s">
        <v>1049</v>
      </c>
      <c r="I82" s="404" t="s">
        <v>1049</v>
      </c>
      <c r="J82" s="404" t="s">
        <v>1049</v>
      </c>
      <c r="K82" s="404" t="s">
        <v>1049</v>
      </c>
      <c r="L82" s="404" t="s">
        <v>1048</v>
      </c>
      <c r="M82" s="404" t="s">
        <v>1048</v>
      </c>
    </row>
    <row r="83" spans="1:13" x14ac:dyDescent="0.25">
      <c r="A83" s="33"/>
      <c r="B83" s="33"/>
      <c r="C83" s="33"/>
      <c r="F83" s="68" t="str">
        <f>'G-1 All Habitats'!B83</f>
        <v>Wetland - Depressions on peat substrates (H7150)</v>
      </c>
      <c r="G83" s="404" t="s">
        <v>1049</v>
      </c>
      <c r="H83" s="404" t="s">
        <v>1049</v>
      </c>
      <c r="I83" s="404">
        <v>30</v>
      </c>
      <c r="J83" s="404">
        <v>25</v>
      </c>
      <c r="K83" s="404">
        <v>15</v>
      </c>
      <c r="L83" s="404" t="s">
        <v>1048</v>
      </c>
      <c r="M83" s="404" t="s">
        <v>1048</v>
      </c>
    </row>
    <row r="84" spans="1:13" x14ac:dyDescent="0.25">
      <c r="A84" s="33"/>
      <c r="B84" s="33"/>
      <c r="C84" s="33"/>
      <c r="F84" s="68" t="str">
        <f>'G-1 All Habitats'!B84</f>
        <v>Wetland - Fens (upland and lowland)</v>
      </c>
      <c r="G84" s="404">
        <v>30</v>
      </c>
      <c r="H84" s="404">
        <v>25</v>
      </c>
      <c r="I84" s="404">
        <v>20</v>
      </c>
      <c r="J84" s="404">
        <v>15</v>
      </c>
      <c r="K84" s="404">
        <v>10</v>
      </c>
      <c r="L84" s="404" t="s">
        <v>1048</v>
      </c>
      <c r="M84" s="404" t="s">
        <v>1048</v>
      </c>
    </row>
    <row r="85" spans="1:13" x14ac:dyDescent="0.25">
      <c r="A85" s="33"/>
      <c r="B85" s="33"/>
      <c r="C85" s="33"/>
      <c r="F85" s="68" t="str">
        <f>'G-1 All Habitats'!B85</f>
        <v>Wetland - Lowland raised bog</v>
      </c>
      <c r="G85" s="404" t="s">
        <v>1049</v>
      </c>
      <c r="H85" s="404" t="s">
        <v>1049</v>
      </c>
      <c r="I85" s="404">
        <v>30</v>
      </c>
      <c r="J85" s="404">
        <v>20</v>
      </c>
      <c r="K85" s="404">
        <v>15</v>
      </c>
      <c r="L85" s="404" t="s">
        <v>1048</v>
      </c>
      <c r="M85" s="404" t="s">
        <v>1048</v>
      </c>
    </row>
    <row r="86" spans="1:13" x14ac:dyDescent="0.25">
      <c r="A86" s="33"/>
      <c r="B86" s="33"/>
      <c r="C86" s="33"/>
      <c r="F86" s="68" t="str">
        <f>'G-1 All Habitats'!B86</f>
        <v>Wetland - Oceanic valley mire[1] (D2.1)</v>
      </c>
      <c r="G86" s="404" t="s">
        <v>1049</v>
      </c>
      <c r="H86" s="404" t="s">
        <v>1049</v>
      </c>
      <c r="I86" s="404">
        <v>30</v>
      </c>
      <c r="J86" s="404">
        <v>20</v>
      </c>
      <c r="K86" s="404">
        <v>15</v>
      </c>
      <c r="L86" s="404" t="s">
        <v>1048</v>
      </c>
      <c r="M86" s="404" t="s">
        <v>1048</v>
      </c>
    </row>
    <row r="87" spans="1:13" x14ac:dyDescent="0.25">
      <c r="A87" s="33"/>
      <c r="B87" s="33"/>
      <c r="C87" s="33"/>
      <c r="F87" s="68" t="str">
        <f>'G-1 All Habitats'!B87</f>
        <v>Wetland - Purple moor grass and rush pastures</v>
      </c>
      <c r="G87" s="404">
        <v>30</v>
      </c>
      <c r="H87" s="404">
        <v>25</v>
      </c>
      <c r="I87" s="404">
        <v>20</v>
      </c>
      <c r="J87" s="404">
        <v>15</v>
      </c>
      <c r="K87" s="404">
        <v>10</v>
      </c>
      <c r="L87" s="404" t="s">
        <v>1048</v>
      </c>
      <c r="M87" s="404" t="s">
        <v>1048</v>
      </c>
    </row>
    <row r="88" spans="1:13" x14ac:dyDescent="0.25">
      <c r="A88" s="33"/>
      <c r="B88" s="33"/>
      <c r="C88" s="33"/>
      <c r="F88" s="68" t="str">
        <f>'G-1 All Habitats'!B88</f>
        <v>Wetland - Reedbeds</v>
      </c>
      <c r="G88" s="404">
        <v>12</v>
      </c>
      <c r="H88" s="404">
        <v>10</v>
      </c>
      <c r="I88" s="404">
        <v>7</v>
      </c>
      <c r="J88" s="404">
        <v>5</v>
      </c>
      <c r="K88" s="404">
        <v>3</v>
      </c>
      <c r="L88" s="404" t="s">
        <v>1048</v>
      </c>
      <c r="M88" s="404" t="s">
        <v>1048</v>
      </c>
    </row>
    <row r="89" spans="1:13" x14ac:dyDescent="0.25">
      <c r="A89" s="33"/>
      <c r="B89" s="33"/>
      <c r="C89" s="33"/>
      <c r="F89" s="68" t="str">
        <f>'G-1 All Habitats'!B89</f>
        <v>Wetland - Transition mires and quaking bogs (H7140)</v>
      </c>
      <c r="G89" s="404" t="s">
        <v>1049</v>
      </c>
      <c r="H89" s="404" t="s">
        <v>1049</v>
      </c>
      <c r="I89" s="404">
        <v>30</v>
      </c>
      <c r="J89" s="404">
        <v>25</v>
      </c>
      <c r="K89" s="404">
        <v>15</v>
      </c>
      <c r="L89" s="404" t="s">
        <v>1048</v>
      </c>
      <c r="M89" s="404" t="s">
        <v>1048</v>
      </c>
    </row>
    <row r="90" spans="1:13" x14ac:dyDescent="0.25">
      <c r="A90" s="33"/>
      <c r="B90" s="33"/>
      <c r="C90" s="33"/>
      <c r="F90" s="68" t="str">
        <f>'G-1 All Habitats'!B90</f>
        <v>Woodland and forest - Felled</v>
      </c>
      <c r="G90" s="404" t="s">
        <v>1049</v>
      </c>
      <c r="H90" s="404" t="s">
        <v>1048</v>
      </c>
      <c r="I90" s="404" t="s">
        <v>1048</v>
      </c>
      <c r="J90" s="404" t="s">
        <v>1048</v>
      </c>
      <c r="K90" s="404" t="s">
        <v>1048</v>
      </c>
      <c r="L90" s="404" t="s">
        <v>1048</v>
      </c>
      <c r="M90" s="404" t="s">
        <v>1048</v>
      </c>
    </row>
    <row r="91" spans="1:13" x14ac:dyDescent="0.25">
      <c r="A91" s="33"/>
      <c r="B91" s="33"/>
      <c r="C91" s="33"/>
      <c r="F91" s="68" t="str">
        <f>'G-1 All Habitats'!B91</f>
        <v>Woodland and forest - Lowland beech and yew woodland</v>
      </c>
      <c r="G91" s="404" t="s">
        <v>1049</v>
      </c>
      <c r="H91" s="404" t="s">
        <v>1049</v>
      </c>
      <c r="I91" s="404" t="s">
        <v>1049</v>
      </c>
      <c r="J91" s="404">
        <v>25</v>
      </c>
      <c r="K91" s="404">
        <v>10</v>
      </c>
      <c r="L91" s="404" t="s">
        <v>1048</v>
      </c>
      <c r="M91" s="404" t="s">
        <v>1048</v>
      </c>
    </row>
    <row r="92" spans="1:13" x14ac:dyDescent="0.25">
      <c r="A92" s="33"/>
      <c r="B92" s="33"/>
      <c r="C92" s="33"/>
      <c r="F92" s="68" t="str">
        <f>'G-1 All Habitats'!B92</f>
        <v>Woodland and forest - Lowland mixed deciduous woodland</v>
      </c>
      <c r="G92" s="404" t="s">
        <v>1049</v>
      </c>
      <c r="H92" s="404" t="s">
        <v>1049</v>
      </c>
      <c r="I92" s="404" t="s">
        <v>1049</v>
      </c>
      <c r="J92" s="404">
        <v>25</v>
      </c>
      <c r="K92" s="404">
        <v>10</v>
      </c>
      <c r="L92" s="404" t="s">
        <v>1048</v>
      </c>
      <c r="M92" s="404" t="s">
        <v>1048</v>
      </c>
    </row>
    <row r="93" spans="1:13" x14ac:dyDescent="0.25">
      <c r="A93" s="33"/>
      <c r="B93" s="33"/>
      <c r="C93" s="33"/>
      <c r="F93" s="68" t="str">
        <f>'G-1 All Habitats'!B93</f>
        <v>Woodland and forest - Native pine woodlands</v>
      </c>
      <c r="G93" s="404" t="s">
        <v>1049</v>
      </c>
      <c r="H93" s="404" t="s">
        <v>1049</v>
      </c>
      <c r="I93" s="404" t="s">
        <v>1049</v>
      </c>
      <c r="J93" s="404">
        <v>25</v>
      </c>
      <c r="K93" s="404">
        <v>10</v>
      </c>
      <c r="L93" s="404" t="s">
        <v>1048</v>
      </c>
      <c r="M93" s="404" t="s">
        <v>1048</v>
      </c>
    </row>
    <row r="94" spans="1:13" x14ac:dyDescent="0.25">
      <c r="A94" s="33"/>
      <c r="B94" s="33"/>
      <c r="C94" s="33"/>
      <c r="F94" s="68" t="str">
        <f>'G-1 All Habitats'!B94</f>
        <v>Woodland and forest - Other coniferous woodland</v>
      </c>
      <c r="G94" s="404" t="s">
        <v>1049</v>
      </c>
      <c r="H94" s="404" t="s">
        <v>1049</v>
      </c>
      <c r="I94" s="404">
        <v>30</v>
      </c>
      <c r="J94" s="404">
        <v>10</v>
      </c>
      <c r="K94" s="404">
        <v>5</v>
      </c>
      <c r="L94" s="404" t="s">
        <v>1048</v>
      </c>
      <c r="M94" s="404" t="s">
        <v>1048</v>
      </c>
    </row>
    <row r="95" spans="1:13" x14ac:dyDescent="0.25">
      <c r="A95" s="33"/>
      <c r="B95" s="33"/>
      <c r="C95" s="33"/>
      <c r="F95" s="68" t="str">
        <f>'G-1 All Habitats'!B95</f>
        <v>Woodland and forest - Other Scot's pine woodland</v>
      </c>
      <c r="G95" s="404" t="s">
        <v>1049</v>
      </c>
      <c r="H95" s="404" t="s">
        <v>1049</v>
      </c>
      <c r="I95" s="404" t="s">
        <v>1049</v>
      </c>
      <c r="J95" s="404">
        <v>25</v>
      </c>
      <c r="K95" s="404">
        <v>10</v>
      </c>
      <c r="L95" s="404" t="s">
        <v>1048</v>
      </c>
      <c r="M95" s="404" t="s">
        <v>1048</v>
      </c>
    </row>
    <row r="96" spans="1:13" x14ac:dyDescent="0.25">
      <c r="A96" s="33"/>
      <c r="B96" s="33"/>
      <c r="C96" s="33"/>
      <c r="F96" s="68" t="str">
        <f>'G-1 All Habitats'!B96</f>
        <v>Woodland and forest - Other woodland; broadleaved</v>
      </c>
      <c r="G96" s="404" t="s">
        <v>1049</v>
      </c>
      <c r="H96" s="404">
        <v>25</v>
      </c>
      <c r="I96" s="404">
        <v>15</v>
      </c>
      <c r="J96" s="404">
        <v>7</v>
      </c>
      <c r="K96" s="404">
        <v>5</v>
      </c>
      <c r="L96" s="404" t="s">
        <v>1048</v>
      </c>
      <c r="M96" s="404" t="s">
        <v>1048</v>
      </c>
    </row>
    <row r="97" spans="1:13" x14ac:dyDescent="0.25">
      <c r="A97" s="33"/>
      <c r="B97" s="33"/>
      <c r="C97" s="33"/>
      <c r="F97" s="68" t="str">
        <f>'G-1 All Habitats'!B97</f>
        <v>Woodland and forest - Other woodland; mixed</v>
      </c>
      <c r="G97" s="404" t="s">
        <v>1049</v>
      </c>
      <c r="H97" s="404" t="s">
        <v>1049</v>
      </c>
      <c r="I97" s="404">
        <v>30</v>
      </c>
      <c r="J97" s="404">
        <v>10</v>
      </c>
      <c r="K97" s="404">
        <v>5</v>
      </c>
      <c r="L97" s="404" t="s">
        <v>1048</v>
      </c>
      <c r="M97" s="404" t="s">
        <v>1048</v>
      </c>
    </row>
    <row r="98" spans="1:13" x14ac:dyDescent="0.25">
      <c r="A98" s="33"/>
      <c r="B98" s="33"/>
      <c r="C98" s="33"/>
      <c r="F98" s="68" t="str">
        <f>'G-1 All Habitats'!B98</f>
        <v>Woodland and forest - Upland birchwoods</v>
      </c>
      <c r="G98" s="404" t="s">
        <v>1049</v>
      </c>
      <c r="H98" s="404">
        <v>30</v>
      </c>
      <c r="I98" s="404">
        <v>25</v>
      </c>
      <c r="J98" s="404">
        <v>20</v>
      </c>
      <c r="K98" s="404">
        <v>10</v>
      </c>
      <c r="L98" s="404" t="s">
        <v>1048</v>
      </c>
      <c r="M98" s="404" t="s">
        <v>1048</v>
      </c>
    </row>
    <row r="99" spans="1:13" x14ac:dyDescent="0.25">
      <c r="A99" s="33"/>
      <c r="B99" s="33"/>
      <c r="C99" s="33"/>
      <c r="F99" s="68" t="str">
        <f>'G-1 All Habitats'!B99</f>
        <v>Woodland and forest - Upland mixed ashwoods</v>
      </c>
      <c r="G99" s="404" t="s">
        <v>1049</v>
      </c>
      <c r="H99" s="404" t="s">
        <v>1049</v>
      </c>
      <c r="I99" s="404" t="s">
        <v>1049</v>
      </c>
      <c r="J99" s="404">
        <v>25</v>
      </c>
      <c r="K99" s="404">
        <v>10</v>
      </c>
      <c r="L99" s="404" t="s">
        <v>1048</v>
      </c>
      <c r="M99" s="404" t="s">
        <v>1048</v>
      </c>
    </row>
    <row r="100" spans="1:13" x14ac:dyDescent="0.25">
      <c r="A100" s="33"/>
      <c r="B100" s="33"/>
      <c r="C100" s="33"/>
      <c r="F100" s="68" t="str">
        <f>'G-1 All Habitats'!B100</f>
        <v>Woodland and forest - Upland oakwood</v>
      </c>
      <c r="G100" s="404" t="s">
        <v>1049</v>
      </c>
      <c r="H100" s="404" t="s">
        <v>1049</v>
      </c>
      <c r="I100" s="404" t="s">
        <v>1049</v>
      </c>
      <c r="J100" s="404">
        <v>25</v>
      </c>
      <c r="K100" s="404">
        <v>10</v>
      </c>
      <c r="L100" s="404" t="s">
        <v>1048</v>
      </c>
      <c r="M100" s="404" t="s">
        <v>1048</v>
      </c>
    </row>
    <row r="101" spans="1:13" x14ac:dyDescent="0.25">
      <c r="A101" s="33"/>
      <c r="B101" s="33"/>
      <c r="C101" s="33"/>
      <c r="F101" s="68" t="str">
        <f>'G-1 All Habitats'!B101</f>
        <v>Woodland and forest - Wet woodland</v>
      </c>
      <c r="G101" s="404" t="s">
        <v>1049</v>
      </c>
      <c r="H101" s="404">
        <v>30</v>
      </c>
      <c r="I101" s="404">
        <v>15</v>
      </c>
      <c r="J101" s="404">
        <v>10</v>
      </c>
      <c r="K101" s="404">
        <v>5</v>
      </c>
      <c r="L101" s="404" t="s">
        <v>1048</v>
      </c>
      <c r="M101" s="404" t="s">
        <v>1048</v>
      </c>
    </row>
    <row r="102" spans="1:13" x14ac:dyDescent="0.25">
      <c r="F102" s="68" t="str">
        <f>'G-1 All Habitats'!B102</f>
        <v>Woodland and forest - Wood-pasture and parkland</v>
      </c>
      <c r="G102" s="404" t="s">
        <v>1049</v>
      </c>
      <c r="H102" s="404" t="s">
        <v>1049</v>
      </c>
      <c r="I102" s="404" t="s">
        <v>1049</v>
      </c>
      <c r="J102" s="404">
        <v>25</v>
      </c>
      <c r="K102" s="404">
        <v>10</v>
      </c>
      <c r="L102" s="404" t="s">
        <v>1048</v>
      </c>
      <c r="M102" s="404" t="s">
        <v>1048</v>
      </c>
    </row>
    <row r="103" spans="1:13" x14ac:dyDescent="0.25">
      <c r="F103" s="68" t="str">
        <f>'G-1 All Habitats'!B103</f>
        <v>Coastal lagoons - Coastal lagoons</v>
      </c>
      <c r="G103" s="404">
        <v>10</v>
      </c>
      <c r="H103" s="404">
        <v>8</v>
      </c>
      <c r="I103" s="404">
        <v>5</v>
      </c>
      <c r="J103" s="404">
        <v>3</v>
      </c>
      <c r="K103" s="404">
        <v>1</v>
      </c>
      <c r="L103" s="404" t="s">
        <v>1048</v>
      </c>
      <c r="M103" s="404" t="s">
        <v>1048</v>
      </c>
    </row>
    <row r="104" spans="1:13" x14ac:dyDescent="0.25">
      <c r="F104" s="68" t="str">
        <f>'G-1 All Habitats'!B104</f>
        <v>Rocky shore - High energy littoral rock</v>
      </c>
      <c r="G104" s="404">
        <v>10</v>
      </c>
      <c r="H104" s="404">
        <v>7</v>
      </c>
      <c r="I104" s="404">
        <v>4</v>
      </c>
      <c r="J104" s="404">
        <v>2</v>
      </c>
      <c r="K104" s="404">
        <v>1</v>
      </c>
      <c r="L104" s="404" t="s">
        <v>1048</v>
      </c>
      <c r="M104" s="404" t="s">
        <v>1048</v>
      </c>
    </row>
    <row r="105" spans="1:13" x14ac:dyDescent="0.25">
      <c r="F105" s="68" t="str">
        <f>'G-1 All Habitats'!B105</f>
        <v>Rocky shore - High energy littoral rock - on peat, clay or chalk</v>
      </c>
      <c r="G105" s="404" t="s">
        <v>1049</v>
      </c>
      <c r="H105" s="404" t="s">
        <v>1049</v>
      </c>
      <c r="I105" s="404" t="s">
        <v>1049</v>
      </c>
      <c r="J105" s="404" t="s">
        <v>1049</v>
      </c>
      <c r="K105" s="404" t="s">
        <v>1049</v>
      </c>
      <c r="L105" s="404" t="s">
        <v>1048</v>
      </c>
      <c r="M105" s="404" t="s">
        <v>1048</v>
      </c>
    </row>
    <row r="106" spans="1:13" x14ac:dyDescent="0.25">
      <c r="F106" s="68" t="str">
        <f>'G-1 All Habitats'!B106</f>
        <v>Rocky shore - Moderate energy littoral rock</v>
      </c>
      <c r="G106" s="404">
        <v>13</v>
      </c>
      <c r="H106" s="404">
        <v>8</v>
      </c>
      <c r="I106" s="404">
        <v>4</v>
      </c>
      <c r="J106" s="404">
        <v>2</v>
      </c>
      <c r="K106" s="404">
        <v>1</v>
      </c>
      <c r="L106" s="404" t="s">
        <v>1048</v>
      </c>
      <c r="M106" s="404" t="s">
        <v>1048</v>
      </c>
    </row>
    <row r="107" spans="1:13" x14ac:dyDescent="0.25">
      <c r="F107" s="68" t="str">
        <f>'G-1 All Habitats'!B107</f>
        <v>Rocky shore - Moderate energy littoral rock - on peat, clay or chalk</v>
      </c>
      <c r="G107" s="404" t="s">
        <v>1049</v>
      </c>
      <c r="H107" s="404" t="s">
        <v>1049</v>
      </c>
      <c r="I107" s="404" t="s">
        <v>1049</v>
      </c>
      <c r="J107" s="404" t="s">
        <v>1049</v>
      </c>
      <c r="K107" s="404" t="s">
        <v>1049</v>
      </c>
      <c r="L107" s="404" t="s">
        <v>1048</v>
      </c>
      <c r="M107" s="404" t="s">
        <v>1048</v>
      </c>
    </row>
    <row r="108" spans="1:13" x14ac:dyDescent="0.25">
      <c r="F108" s="68" t="str">
        <f>'G-1 All Habitats'!B108</f>
        <v>Rocky shore - Low energy littoral rock</v>
      </c>
      <c r="G108" s="404">
        <v>15</v>
      </c>
      <c r="H108" s="404">
        <v>10</v>
      </c>
      <c r="I108" s="404">
        <v>5</v>
      </c>
      <c r="J108" s="404">
        <v>1</v>
      </c>
      <c r="K108" s="404">
        <v>1</v>
      </c>
      <c r="L108" s="404" t="s">
        <v>1048</v>
      </c>
      <c r="M108" s="404" t="s">
        <v>1048</v>
      </c>
    </row>
    <row r="109" spans="1:13" x14ac:dyDescent="0.25">
      <c r="F109" s="68" t="str">
        <f>'G-1 All Habitats'!B109</f>
        <v>Rocky shore - Low energy littoral rock - on peat, clay or chalk</v>
      </c>
      <c r="G109" s="404" t="s">
        <v>1049</v>
      </c>
      <c r="H109" s="404" t="s">
        <v>1049</v>
      </c>
      <c r="I109" s="404" t="s">
        <v>1049</v>
      </c>
      <c r="J109" s="404" t="s">
        <v>1049</v>
      </c>
      <c r="K109" s="404" t="s">
        <v>1049</v>
      </c>
      <c r="L109" s="404" t="s">
        <v>1048</v>
      </c>
      <c r="M109" s="404" t="s">
        <v>1048</v>
      </c>
    </row>
    <row r="110" spans="1:13" x14ac:dyDescent="0.25">
      <c r="F110" s="68" t="str">
        <f>'G-1 All Habitats'!B110</f>
        <v>Rocky shore - Features of littoral rock</v>
      </c>
      <c r="G110" s="404">
        <v>13</v>
      </c>
      <c r="H110" s="404">
        <v>8</v>
      </c>
      <c r="I110" s="404">
        <v>4</v>
      </c>
      <c r="J110" s="404">
        <v>2</v>
      </c>
      <c r="K110" s="404">
        <v>1</v>
      </c>
      <c r="L110" s="404" t="s">
        <v>1048</v>
      </c>
      <c r="M110" s="404" t="s">
        <v>1048</v>
      </c>
    </row>
    <row r="111" spans="1:13" x14ac:dyDescent="0.25">
      <c r="F111" s="68" t="str">
        <f>'G-1 All Habitats'!B111</f>
        <v>Rocky shore - Features of littoral rock - on peat, clay or chalk</v>
      </c>
      <c r="G111" s="404" t="s">
        <v>1049</v>
      </c>
      <c r="H111" s="404" t="s">
        <v>1049</v>
      </c>
      <c r="I111" s="404" t="s">
        <v>1049</v>
      </c>
      <c r="J111" s="404" t="s">
        <v>1049</v>
      </c>
      <c r="K111" s="404" t="s">
        <v>1049</v>
      </c>
      <c r="L111" s="404" t="s">
        <v>1048</v>
      </c>
      <c r="M111" s="404" t="s">
        <v>1048</v>
      </c>
    </row>
    <row r="112" spans="1:13" x14ac:dyDescent="0.25">
      <c r="F112" s="68" t="str">
        <f>'G-1 All Habitats'!B114</f>
        <v>Intertidal sediment - Littoral coarse sediment</v>
      </c>
      <c r="G112" s="404">
        <v>3</v>
      </c>
      <c r="H112" s="404">
        <v>2</v>
      </c>
      <c r="I112" s="404">
        <v>1</v>
      </c>
      <c r="J112" s="404">
        <v>1</v>
      </c>
      <c r="K112" s="404">
        <v>1</v>
      </c>
      <c r="L112" s="404" t="s">
        <v>1048</v>
      </c>
      <c r="M112" s="404" t="s">
        <v>1048</v>
      </c>
    </row>
    <row r="113" spans="6:13" x14ac:dyDescent="0.25">
      <c r="F113" s="68" t="str">
        <f>'G-1 All Habitats'!B115</f>
        <v>Intertidal sediment - Littoral mud</v>
      </c>
      <c r="G113" s="404">
        <v>6</v>
      </c>
      <c r="H113" s="404">
        <v>4</v>
      </c>
      <c r="I113" s="404">
        <v>3</v>
      </c>
      <c r="J113" s="404">
        <v>2</v>
      </c>
      <c r="K113" s="404">
        <v>1</v>
      </c>
      <c r="L113" s="404" t="s">
        <v>1048</v>
      </c>
      <c r="M113" s="404" t="s">
        <v>1048</v>
      </c>
    </row>
    <row r="114" spans="6:13" x14ac:dyDescent="0.25">
      <c r="F114" s="68" t="str">
        <f>'G-1 All Habitats'!B116</f>
        <v>Intertidal sediment - Littoral mixed sediments</v>
      </c>
      <c r="G114" s="404">
        <v>5</v>
      </c>
      <c r="H114" s="404">
        <v>4</v>
      </c>
      <c r="I114" s="404">
        <v>3</v>
      </c>
      <c r="J114" s="404">
        <v>2</v>
      </c>
      <c r="K114" s="404">
        <v>1</v>
      </c>
      <c r="L114" s="404" t="s">
        <v>1048</v>
      </c>
      <c r="M114" s="404" t="s">
        <v>1048</v>
      </c>
    </row>
    <row r="115" spans="6:13" x14ac:dyDescent="0.25">
      <c r="F115" s="68" t="str">
        <f>'G-1 All Habitats'!B112</f>
        <v>Coastal saltmarsh - Saltmarshes and saline reedbeds</v>
      </c>
      <c r="G115" s="404">
        <v>15</v>
      </c>
      <c r="H115" s="404">
        <v>10</v>
      </c>
      <c r="I115" s="404">
        <v>7</v>
      </c>
      <c r="J115" s="404">
        <v>3</v>
      </c>
      <c r="K115" s="404">
        <v>1</v>
      </c>
      <c r="L115" s="404" t="s">
        <v>1048</v>
      </c>
      <c r="M115" s="404" t="s">
        <v>1048</v>
      </c>
    </row>
    <row r="116" spans="6:13" x14ac:dyDescent="0.25">
      <c r="F116" s="68" t="str">
        <f>'G-1 All Habitats'!B113</f>
        <v>Coastal saltmarsh - Artificial saltmarshes and saline reedbeds</v>
      </c>
      <c r="G116" s="404">
        <v>15</v>
      </c>
      <c r="H116" s="404">
        <v>10</v>
      </c>
      <c r="I116" s="404">
        <v>7</v>
      </c>
      <c r="J116" s="404">
        <v>3</v>
      </c>
      <c r="K116" s="404">
        <v>1</v>
      </c>
      <c r="L116" s="404" t="s">
        <v>1048</v>
      </c>
      <c r="M116" s="404" t="s">
        <v>1048</v>
      </c>
    </row>
    <row r="117" spans="6:13" x14ac:dyDescent="0.25">
      <c r="F117" s="68" t="str">
        <f>'G-1 All Habitats'!B117</f>
        <v>Intertidal sediment - Littoral seagrass</v>
      </c>
      <c r="G117" s="404">
        <v>20</v>
      </c>
      <c r="H117" s="404">
        <v>15</v>
      </c>
      <c r="I117" s="404">
        <v>10</v>
      </c>
      <c r="J117" s="404">
        <v>5</v>
      </c>
      <c r="K117" s="404">
        <v>2</v>
      </c>
      <c r="L117" s="404" t="s">
        <v>1048</v>
      </c>
      <c r="M117" s="404" t="s">
        <v>1048</v>
      </c>
    </row>
    <row r="118" spans="6:13" x14ac:dyDescent="0.25">
      <c r="F118" s="68" t="str">
        <f>'G-1 All Habitats'!B118</f>
        <v>Intertidal sediment - Littoral seagrass on peat, clay or chalk</v>
      </c>
      <c r="G118" s="404" t="s">
        <v>1049</v>
      </c>
      <c r="H118" s="404" t="s">
        <v>1049</v>
      </c>
      <c r="I118" s="404" t="s">
        <v>1049</v>
      </c>
      <c r="J118" s="404" t="s">
        <v>1049</v>
      </c>
      <c r="K118" s="404" t="s">
        <v>1049</v>
      </c>
      <c r="L118" s="404" t="s">
        <v>1048</v>
      </c>
      <c r="M118" s="404" t="s">
        <v>1048</v>
      </c>
    </row>
    <row r="119" spans="6:13" x14ac:dyDescent="0.25">
      <c r="F119" s="68" t="str">
        <f>'G-1 All Habitats'!B119</f>
        <v>Intertidal sediment - Littoral biogenic reefs - Mussels</v>
      </c>
      <c r="G119" s="404">
        <v>15</v>
      </c>
      <c r="H119" s="404">
        <v>10</v>
      </c>
      <c r="I119" s="404">
        <v>5</v>
      </c>
      <c r="J119" s="404">
        <v>3</v>
      </c>
      <c r="K119" s="404">
        <v>3</v>
      </c>
      <c r="L119" s="404" t="s">
        <v>1048</v>
      </c>
      <c r="M119" s="404" t="s">
        <v>1048</v>
      </c>
    </row>
    <row r="120" spans="6:13" x14ac:dyDescent="0.25">
      <c r="F120" s="68" t="str">
        <f>'G-1 All Habitats'!B120</f>
        <v>Intertidal sediment - Littoral biogenic reefs - Sabellaria</v>
      </c>
      <c r="G120" s="404">
        <v>15</v>
      </c>
      <c r="H120" s="404">
        <v>10</v>
      </c>
      <c r="I120" s="404">
        <v>5</v>
      </c>
      <c r="J120" s="404">
        <v>3</v>
      </c>
      <c r="K120" s="404">
        <v>3</v>
      </c>
      <c r="L120" s="404" t="s">
        <v>1048</v>
      </c>
      <c r="M120" s="404" t="s">
        <v>1048</v>
      </c>
    </row>
    <row r="121" spans="6:13" x14ac:dyDescent="0.25">
      <c r="F121" s="68" t="str">
        <f>'G-1 All Habitats'!B121</f>
        <v>Intertidal sediment - Features of littoral sediment</v>
      </c>
      <c r="G121" s="404">
        <v>10</v>
      </c>
      <c r="H121" s="404">
        <v>7</v>
      </c>
      <c r="I121" s="404">
        <v>5</v>
      </c>
      <c r="J121" s="404">
        <v>3</v>
      </c>
      <c r="K121" s="404">
        <v>3</v>
      </c>
      <c r="L121" s="404" t="s">
        <v>1048</v>
      </c>
      <c r="M121" s="404" t="s">
        <v>1048</v>
      </c>
    </row>
    <row r="122" spans="6:13" x14ac:dyDescent="0.25">
      <c r="F122" s="68" t="str">
        <f>'G-1 All Habitats'!B122</f>
        <v>Intertidal sediment - Artificial littoral coarse sediment</v>
      </c>
      <c r="G122" s="404">
        <v>3</v>
      </c>
      <c r="H122" s="404">
        <v>2</v>
      </c>
      <c r="I122" s="404">
        <v>1</v>
      </c>
      <c r="J122" s="404">
        <v>1</v>
      </c>
      <c r="K122" s="404">
        <v>1</v>
      </c>
      <c r="L122" s="404" t="s">
        <v>1048</v>
      </c>
      <c r="M122" s="404" t="s">
        <v>1048</v>
      </c>
    </row>
    <row r="123" spans="6:13" x14ac:dyDescent="0.25">
      <c r="F123" s="68" t="str">
        <f>'G-1 All Habitats'!B123</f>
        <v>Intertidal sediment - Artificial littoral mud</v>
      </c>
      <c r="G123" s="404">
        <v>6</v>
      </c>
      <c r="H123" s="404">
        <v>4</v>
      </c>
      <c r="I123" s="404">
        <v>3</v>
      </c>
      <c r="J123" s="404">
        <v>2</v>
      </c>
      <c r="K123" s="404">
        <v>1</v>
      </c>
      <c r="L123" s="404" t="s">
        <v>1048</v>
      </c>
      <c r="M123" s="404" t="s">
        <v>1048</v>
      </c>
    </row>
    <row r="124" spans="6:13" x14ac:dyDescent="0.25">
      <c r="F124" s="68" t="str">
        <f>'G-1 All Habitats'!B124</f>
        <v>Intertidal sediment - Artificial littoral sand</v>
      </c>
      <c r="G124" s="404">
        <v>4</v>
      </c>
      <c r="H124" s="404">
        <v>2</v>
      </c>
      <c r="I124" s="404">
        <v>1</v>
      </c>
      <c r="J124" s="404">
        <v>1</v>
      </c>
      <c r="K124" s="404">
        <v>1</v>
      </c>
      <c r="L124" s="404" t="s">
        <v>1048</v>
      </c>
      <c r="M124" s="404" t="s">
        <v>1048</v>
      </c>
    </row>
    <row r="125" spans="6:13" x14ac:dyDescent="0.25">
      <c r="F125" s="68" t="str">
        <f>'G-1 All Habitats'!B125</f>
        <v>Intertidal sediment - Artificial littoral muddy sand</v>
      </c>
      <c r="G125" s="404">
        <v>5</v>
      </c>
      <c r="H125" s="404">
        <v>4</v>
      </c>
      <c r="I125" s="404">
        <v>3</v>
      </c>
      <c r="J125" s="404">
        <v>2</v>
      </c>
      <c r="K125" s="404">
        <v>1</v>
      </c>
      <c r="L125" s="404" t="s">
        <v>1048</v>
      </c>
      <c r="M125" s="404" t="s">
        <v>1048</v>
      </c>
    </row>
    <row r="126" spans="6:13" x14ac:dyDescent="0.25">
      <c r="F126" s="68" t="str">
        <f>'G-1 All Habitats'!B126</f>
        <v>Intertidal sediment - Artificial littoral mixed sediments</v>
      </c>
      <c r="G126" s="404">
        <v>5</v>
      </c>
      <c r="H126" s="404">
        <v>4</v>
      </c>
      <c r="I126" s="404">
        <v>3</v>
      </c>
      <c r="J126" s="404">
        <v>2</v>
      </c>
      <c r="K126" s="404">
        <v>1</v>
      </c>
      <c r="L126" s="404" t="s">
        <v>1048</v>
      </c>
      <c r="M126" s="404" t="s">
        <v>1048</v>
      </c>
    </row>
    <row r="127" spans="6:13" x14ac:dyDescent="0.25">
      <c r="F127" s="68" t="str">
        <f>'G-1 All Habitats'!B127</f>
        <v>Intertidal sediment - Artificial littoral seagrass</v>
      </c>
      <c r="G127" s="404">
        <v>20</v>
      </c>
      <c r="H127" s="404">
        <v>15</v>
      </c>
      <c r="I127" s="404">
        <v>10</v>
      </c>
      <c r="J127" s="404">
        <v>5</v>
      </c>
      <c r="K127" s="404">
        <v>2</v>
      </c>
      <c r="L127" s="404" t="s">
        <v>1048</v>
      </c>
      <c r="M127" s="404" t="s">
        <v>1048</v>
      </c>
    </row>
    <row r="128" spans="6:13" x14ac:dyDescent="0.25">
      <c r="F128" s="68" t="str">
        <f>'G-1 All Habitats'!B128</f>
        <v>Intertidal sediment - Artificial littoral biogenic reefs</v>
      </c>
      <c r="G128" s="404">
        <v>15</v>
      </c>
      <c r="H128" s="404">
        <v>10</v>
      </c>
      <c r="I128" s="404">
        <v>5</v>
      </c>
      <c r="J128" s="404">
        <v>3</v>
      </c>
      <c r="K128" s="404">
        <v>3</v>
      </c>
      <c r="L128" s="404" t="s">
        <v>1048</v>
      </c>
      <c r="M128" s="404" t="s">
        <v>1048</v>
      </c>
    </row>
    <row r="129" spans="6:13" x14ac:dyDescent="0.25">
      <c r="F129" s="68" t="str">
        <f>'G-1 All Habitats'!B129</f>
        <v>Intertidal sediment - Littoral sand</v>
      </c>
      <c r="G129" s="404">
        <v>4</v>
      </c>
      <c r="H129" s="404">
        <v>2</v>
      </c>
      <c r="I129" s="404">
        <v>1</v>
      </c>
      <c r="J129" s="404">
        <v>1</v>
      </c>
      <c r="K129" s="404">
        <v>1</v>
      </c>
      <c r="L129" s="404" t="s">
        <v>1048</v>
      </c>
      <c r="M129" s="404" t="s">
        <v>1048</v>
      </c>
    </row>
    <row r="130" spans="6:13" x14ac:dyDescent="0.25">
      <c r="F130" s="68" t="str">
        <f>'G-1 All Habitats'!B130</f>
        <v>Intertidal sediment - Littoral muddy sand</v>
      </c>
      <c r="G130" s="404">
        <v>5</v>
      </c>
      <c r="H130" s="404">
        <v>4</v>
      </c>
      <c r="I130" s="404">
        <v>3</v>
      </c>
      <c r="J130" s="404">
        <v>2</v>
      </c>
      <c r="K130" s="404">
        <v>1</v>
      </c>
      <c r="L130" s="404" t="s">
        <v>1048</v>
      </c>
      <c r="M130" s="404" t="s">
        <v>1048</v>
      </c>
    </row>
    <row r="131" spans="6:13" x14ac:dyDescent="0.25">
      <c r="F131" s="68" t="str">
        <f>'G-1 All Habitats'!B131</f>
        <v>Intertidal hard structures - Artificial hard structures</v>
      </c>
      <c r="G131" s="404">
        <v>15</v>
      </c>
      <c r="H131" s="404">
        <v>10</v>
      </c>
      <c r="I131" s="404">
        <v>5</v>
      </c>
      <c r="J131" s="404">
        <v>2</v>
      </c>
      <c r="K131" s="404">
        <v>1</v>
      </c>
      <c r="L131" s="404" t="s">
        <v>1048</v>
      </c>
      <c r="M131" s="404" t="s">
        <v>1048</v>
      </c>
    </row>
    <row r="132" spans="6:13" x14ac:dyDescent="0.25">
      <c r="F132" s="68" t="str">
        <f>'G-1 All Habitats'!B132</f>
        <v>Intertidal hard structures - Artificial features of hard structures</v>
      </c>
      <c r="G132" s="404">
        <v>13</v>
      </c>
      <c r="H132" s="404">
        <v>8</v>
      </c>
      <c r="I132" s="404">
        <v>4</v>
      </c>
      <c r="J132" s="404">
        <v>2</v>
      </c>
      <c r="K132" s="404">
        <v>1</v>
      </c>
      <c r="L132" s="404" t="s">
        <v>1048</v>
      </c>
      <c r="M132" s="404" t="s">
        <v>1048</v>
      </c>
    </row>
    <row r="133" spans="6:13" x14ac:dyDescent="0.25">
      <c r="F133" s="68" t="str">
        <f>'G-1 All Habitats'!B133</f>
        <v>Intertidal hard structures - Artificial hard structures with integrated greening of grey infrastructure (IGGI)</v>
      </c>
      <c r="G133" s="404">
        <v>13</v>
      </c>
      <c r="H133" s="404">
        <v>8</v>
      </c>
      <c r="I133" s="404">
        <v>4</v>
      </c>
      <c r="J133" s="404">
        <v>2</v>
      </c>
      <c r="K133" s="404">
        <v>1</v>
      </c>
      <c r="L133" s="404" t="s">
        <v>1048</v>
      </c>
      <c r="M133" s="404" t="s">
        <v>1048</v>
      </c>
    </row>
    <row r="134" spans="6:13" x14ac:dyDescent="0.25">
      <c r="F134" s="68" t="str">
        <f>'G-1 All Habitats'!B134</f>
        <v>Watercourse footprint - Watercourse footprint</v>
      </c>
      <c r="G134" s="404" t="s">
        <v>1048</v>
      </c>
      <c r="H134" s="404" t="s">
        <v>1048</v>
      </c>
      <c r="I134" s="404" t="s">
        <v>1048</v>
      </c>
      <c r="J134" s="404" t="s">
        <v>1048</v>
      </c>
      <c r="K134" s="404" t="s">
        <v>1048</v>
      </c>
      <c r="L134" s="404" t="s">
        <v>1048</v>
      </c>
      <c r="M134" s="404">
        <v>0</v>
      </c>
    </row>
    <row r="135" spans="6:13" x14ac:dyDescent="0.25">
      <c r="F135" s="68" t="str">
        <f>'G-1 All Habitats'!B81</f>
        <v>Individual trees - Rural tree</v>
      </c>
      <c r="G135" s="404" t="s">
        <v>1049</v>
      </c>
      <c r="H135" s="404" t="s">
        <v>1049</v>
      </c>
      <c r="I135" s="404">
        <v>27</v>
      </c>
      <c r="J135" s="404">
        <v>19</v>
      </c>
      <c r="K135" s="404">
        <v>10</v>
      </c>
      <c r="L135" s="404" t="s">
        <v>1048</v>
      </c>
      <c r="M135" s="404" t="s">
        <v>1048</v>
      </c>
    </row>
    <row r="136" spans="6:13" x14ac:dyDescent="0.25"/>
    <row r="137" spans="6:13" x14ac:dyDescent="0.25"/>
    <row r="138" spans="6:13" x14ac:dyDescent="0.25"/>
    <row r="139" spans="6:13" x14ac:dyDescent="0.25"/>
    <row r="140" spans="6:13" x14ac:dyDescent="0.25"/>
    <row r="141" spans="6:13" x14ac:dyDescent="0.25"/>
    <row r="142" spans="6:13" x14ac:dyDescent="0.25"/>
    <row r="143" spans="6:13" x14ac:dyDescent="0.25"/>
    <row r="144" spans="6:13" x14ac:dyDescent="0.25"/>
    <row r="145" x14ac:dyDescent="0.25"/>
    <row r="146" x14ac:dyDescent="0.25"/>
    <row r="147" x14ac:dyDescent="0.25"/>
    <row r="148" x14ac:dyDescent="0.25"/>
    <row r="149" x14ac:dyDescent="0.25"/>
    <row r="150" x14ac:dyDescent="0.25"/>
    <row r="151" x14ac:dyDescent="0.25"/>
    <row r="152" x14ac:dyDescent="0.25"/>
    <row r="153" x14ac:dyDescent="0.25"/>
  </sheetData>
  <sheetProtection algorithmName="SHA-512" hashValue="jSeENm+oGhL6qlZuHky/PqurNmQ+MIHcIaF284lKZ7DVT+VjJvlMCQKEhxlXsIWGhvsd68ugWk/LmbYAAzws4A==" saltValue="TCT7J0PjSDZ9lZJDa8k3RQ==" spinCount="100000" sheet="1" objects="1" scenarios="1"/>
  <autoFilter ref="F3:M131" xr:uid="{00000000-0009-0000-0000-00001F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xr:uid="{00000000-0002-0000-1F00-000000000000}">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C000"/>
  </sheetPr>
  <dimension ref="A1:AN295"/>
  <sheetViews>
    <sheetView showGridLines="0" zoomScale="80" zoomScaleNormal="80" workbookViewId="0">
      <pane xSplit="3" ySplit="4" topLeftCell="D5" activePane="bottomRight" state="frozen"/>
      <selection pane="topRight"/>
      <selection pane="bottomLeft"/>
      <selection pane="bottomRight"/>
    </sheetView>
  </sheetViews>
  <sheetFormatPr defaultColWidth="0" defaultRowHeight="13.8" zeroHeight="1" x14ac:dyDescent="0.25"/>
  <cols>
    <col min="1" max="1" width="3.5546875" style="30" customWidth="1"/>
    <col min="2" max="2" width="3.21875" style="30" customWidth="1"/>
    <col min="3" max="3" width="88.77734375" style="30" bestFit="1" customWidth="1"/>
    <col min="4" max="4" width="18" style="33" customWidth="1"/>
    <col min="5" max="5" width="21.5546875" style="33" customWidth="1"/>
    <col min="6" max="6" width="17.77734375" style="33" customWidth="1"/>
    <col min="7" max="8" width="18.77734375" style="33" customWidth="1"/>
    <col min="9" max="9" width="17.77734375" style="33" customWidth="1"/>
    <col min="10" max="14" width="17.44140625" style="33" customWidth="1"/>
    <col min="15" max="15" width="14.44140625" style="33" bestFit="1" customWidth="1"/>
    <col min="16" max="16" width="12.77734375" style="33" bestFit="1" customWidth="1"/>
    <col min="17" max="21" width="14.44140625" style="33" bestFit="1" customWidth="1"/>
    <col min="22" max="22" width="14.21875" style="33" bestFit="1" customWidth="1"/>
    <col min="23" max="23" width="13.21875" style="33" bestFit="1" customWidth="1"/>
    <col min="24" max="24" width="14.44140625" style="33" bestFit="1" customWidth="1"/>
    <col min="25" max="25" width="12.77734375" style="33" bestFit="1" customWidth="1"/>
    <col min="26" max="26" width="11.77734375" style="33" customWidth="1"/>
    <col min="27" max="30" width="11.77734375" style="30" customWidth="1"/>
    <col min="31" max="40" width="11.77734375" style="30" hidden="1" customWidth="1"/>
    <col min="41" max="16384" width="9.21875" style="30" hidden="1"/>
  </cols>
  <sheetData>
    <row r="1" spans="3:25" ht="33.6" customHeight="1" x14ac:dyDescent="0.25">
      <c r="D1" s="30"/>
      <c r="E1" s="30"/>
      <c r="F1" s="30"/>
      <c r="G1" s="30"/>
      <c r="H1" s="30"/>
      <c r="I1" s="30"/>
      <c r="J1" s="30"/>
      <c r="K1" s="30"/>
      <c r="L1" s="30"/>
      <c r="M1" s="30"/>
      <c r="N1" s="30"/>
      <c r="O1" s="30"/>
      <c r="P1" s="30"/>
      <c r="Q1" s="30"/>
      <c r="R1" s="30"/>
      <c r="S1" s="30"/>
      <c r="T1" s="30"/>
      <c r="U1" s="30"/>
      <c r="V1" s="30"/>
      <c r="W1" s="30"/>
      <c r="X1" s="30"/>
      <c r="Y1" s="30"/>
    </row>
    <row r="2" spans="3:25" ht="41.4" x14ac:dyDescent="0.25">
      <c r="C2" s="226" t="s">
        <v>1051</v>
      </c>
      <c r="D2" s="80" t="s">
        <v>1052</v>
      </c>
      <c r="E2" s="80" t="s">
        <v>1052</v>
      </c>
      <c r="F2" s="80" t="s">
        <v>1052</v>
      </c>
      <c r="G2" s="80" t="s">
        <v>1052</v>
      </c>
      <c r="H2" s="80" t="s">
        <v>1052</v>
      </c>
      <c r="I2" s="80" t="s">
        <v>1052</v>
      </c>
      <c r="J2" s="80" t="s">
        <v>1052</v>
      </c>
      <c r="K2" s="80" t="s">
        <v>492</v>
      </c>
      <c r="L2" s="80" t="s">
        <v>492</v>
      </c>
      <c r="M2" s="80" t="s">
        <v>492</v>
      </c>
      <c r="N2" s="80" t="s">
        <v>492</v>
      </c>
      <c r="O2" s="80" t="s">
        <v>328</v>
      </c>
      <c r="P2" s="80" t="s">
        <v>328</v>
      </c>
      <c r="Q2" s="80" t="s">
        <v>328</v>
      </c>
      <c r="R2" s="80" t="s">
        <v>328</v>
      </c>
      <c r="S2" s="80" t="s">
        <v>482</v>
      </c>
      <c r="T2" s="80" t="s">
        <v>482</v>
      </c>
      <c r="U2" s="80" t="s">
        <v>482</v>
      </c>
      <c r="V2" s="80" t="s">
        <v>67</v>
      </c>
      <c r="W2" s="80" t="s">
        <v>67</v>
      </c>
      <c r="X2" s="80" t="s">
        <v>472</v>
      </c>
      <c r="Y2" s="80" t="s">
        <v>68</v>
      </c>
    </row>
    <row r="3" spans="3:25" ht="29.55" customHeight="1" x14ac:dyDescent="0.25">
      <c r="C3" s="226" t="s">
        <v>1053</v>
      </c>
      <c r="D3" s="80" t="s">
        <v>496</v>
      </c>
      <c r="E3" s="80" t="s">
        <v>492</v>
      </c>
      <c r="F3" s="80" t="s">
        <v>328</v>
      </c>
      <c r="G3" s="80" t="s">
        <v>482</v>
      </c>
      <c r="H3" s="80" t="s">
        <v>67</v>
      </c>
      <c r="I3" s="80" t="s">
        <v>472</v>
      </c>
      <c r="J3" s="80" t="s">
        <v>68</v>
      </c>
      <c r="K3" s="80" t="s">
        <v>482</v>
      </c>
      <c r="L3" s="80" t="s">
        <v>67</v>
      </c>
      <c r="M3" s="80" t="s">
        <v>472</v>
      </c>
      <c r="N3" s="80" t="s">
        <v>68</v>
      </c>
      <c r="O3" s="80" t="s">
        <v>482</v>
      </c>
      <c r="P3" s="80" t="s">
        <v>67</v>
      </c>
      <c r="Q3" s="80" t="s">
        <v>472</v>
      </c>
      <c r="R3" s="80" t="s">
        <v>68</v>
      </c>
      <c r="S3" s="80" t="s">
        <v>67</v>
      </c>
      <c r="T3" s="80" t="s">
        <v>472</v>
      </c>
      <c r="U3" s="80" t="s">
        <v>68</v>
      </c>
      <c r="V3" s="80" t="s">
        <v>472</v>
      </c>
      <c r="W3" s="80" t="s">
        <v>68</v>
      </c>
      <c r="X3" s="80" t="s">
        <v>68</v>
      </c>
      <c r="Y3" s="80" t="s">
        <v>68</v>
      </c>
    </row>
    <row r="4" spans="3:25" ht="72" customHeight="1" x14ac:dyDescent="0.25">
      <c r="C4" s="226" t="s">
        <v>338</v>
      </c>
      <c r="D4" s="78" t="s">
        <v>1054</v>
      </c>
      <c r="E4" s="78" t="s">
        <v>1055</v>
      </c>
      <c r="F4" s="78" t="s">
        <v>1056</v>
      </c>
      <c r="G4" s="78" t="s">
        <v>1057</v>
      </c>
      <c r="H4" s="78" t="s">
        <v>1058</v>
      </c>
      <c r="I4" s="78" t="s">
        <v>1059</v>
      </c>
      <c r="J4" s="78" t="s">
        <v>1060</v>
      </c>
      <c r="K4" s="78" t="s">
        <v>1061</v>
      </c>
      <c r="L4" s="78" t="s">
        <v>1062</v>
      </c>
      <c r="M4" s="78" t="s">
        <v>1063</v>
      </c>
      <c r="N4" s="78" t="s">
        <v>1064</v>
      </c>
      <c r="O4" s="78" t="s">
        <v>1065</v>
      </c>
      <c r="P4" s="78" t="s">
        <v>1066</v>
      </c>
      <c r="Q4" s="78" t="s">
        <v>1067</v>
      </c>
      <c r="R4" s="78" t="s">
        <v>1068</v>
      </c>
      <c r="S4" s="78" t="s">
        <v>1069</v>
      </c>
      <c r="T4" s="78" t="s">
        <v>1070</v>
      </c>
      <c r="U4" s="78" t="s">
        <v>1071</v>
      </c>
      <c r="V4" s="78" t="s">
        <v>1072</v>
      </c>
      <c r="W4" s="78" t="s">
        <v>1073</v>
      </c>
      <c r="X4" s="78" t="s">
        <v>1074</v>
      </c>
      <c r="Y4" s="78" t="s">
        <v>1075</v>
      </c>
    </row>
    <row r="5" spans="3:25" x14ac:dyDescent="0.25">
      <c r="C5" s="68" t="str">
        <f>'G-1 All Habitats'!B3</f>
        <v>Cropland - Arable field margins cultivated annually</v>
      </c>
      <c r="D5" s="404" t="s">
        <v>1048</v>
      </c>
      <c r="E5" s="404">
        <v>1</v>
      </c>
      <c r="F5" s="404" t="s">
        <v>1048</v>
      </c>
      <c r="G5" s="404" t="s">
        <v>1048</v>
      </c>
      <c r="H5" s="404" t="s">
        <v>1048</v>
      </c>
      <c r="I5" s="404" t="s">
        <v>1048</v>
      </c>
      <c r="J5" s="404" t="s">
        <v>1048</v>
      </c>
      <c r="K5" s="404" t="s">
        <v>1048</v>
      </c>
      <c r="L5" s="404" t="s">
        <v>1048</v>
      </c>
      <c r="M5" s="404" t="s">
        <v>1048</v>
      </c>
      <c r="N5" s="404" t="s">
        <v>1048</v>
      </c>
      <c r="O5" s="404" t="s">
        <v>1048</v>
      </c>
      <c r="P5" s="404" t="s">
        <v>1048</v>
      </c>
      <c r="Q5" s="404" t="s">
        <v>1048</v>
      </c>
      <c r="R5" s="404" t="s">
        <v>1048</v>
      </c>
      <c r="S5" s="404" t="s">
        <v>1048</v>
      </c>
      <c r="T5" s="404" t="s">
        <v>1048</v>
      </c>
      <c r="U5" s="404" t="s">
        <v>1048</v>
      </c>
      <c r="V5" s="404" t="s">
        <v>1048</v>
      </c>
      <c r="W5" s="404" t="s">
        <v>1048</v>
      </c>
      <c r="X5" s="404" t="s">
        <v>1048</v>
      </c>
      <c r="Y5" s="404" t="s">
        <v>1048</v>
      </c>
    </row>
    <row r="6" spans="3:25" x14ac:dyDescent="0.25">
      <c r="C6" s="68" t="str">
        <f>'G-1 All Habitats'!B4</f>
        <v>Cropland - Arable field margins game bird mix</v>
      </c>
      <c r="D6" s="404" t="s">
        <v>1048</v>
      </c>
      <c r="E6" s="404">
        <v>1</v>
      </c>
      <c r="F6" s="404" t="s">
        <v>1048</v>
      </c>
      <c r="G6" s="404" t="s">
        <v>1048</v>
      </c>
      <c r="H6" s="404" t="s">
        <v>1048</v>
      </c>
      <c r="I6" s="404" t="s">
        <v>1048</v>
      </c>
      <c r="J6" s="404" t="s">
        <v>1048</v>
      </c>
      <c r="K6" s="404" t="s">
        <v>1048</v>
      </c>
      <c r="L6" s="404" t="s">
        <v>1048</v>
      </c>
      <c r="M6" s="404" t="s">
        <v>1048</v>
      </c>
      <c r="N6" s="404" t="s">
        <v>1048</v>
      </c>
      <c r="O6" s="404" t="s">
        <v>1048</v>
      </c>
      <c r="P6" s="404" t="s">
        <v>1048</v>
      </c>
      <c r="Q6" s="404" t="s">
        <v>1048</v>
      </c>
      <c r="R6" s="404" t="s">
        <v>1048</v>
      </c>
      <c r="S6" s="404" t="s">
        <v>1048</v>
      </c>
      <c r="T6" s="404" t="s">
        <v>1048</v>
      </c>
      <c r="U6" s="404" t="s">
        <v>1048</v>
      </c>
      <c r="V6" s="404" t="s">
        <v>1048</v>
      </c>
      <c r="W6" s="404" t="s">
        <v>1048</v>
      </c>
      <c r="X6" s="404" t="s">
        <v>1048</v>
      </c>
      <c r="Y6" s="404" t="s">
        <v>1048</v>
      </c>
    </row>
    <row r="7" spans="3:25" x14ac:dyDescent="0.25">
      <c r="C7" s="68" t="str">
        <f>'G-1 All Habitats'!B5</f>
        <v>Cropland - Arable field margins pollen and nectar</v>
      </c>
      <c r="D7" s="404" t="s">
        <v>1048</v>
      </c>
      <c r="E7" s="404">
        <v>1</v>
      </c>
      <c r="F7" s="404" t="s">
        <v>1048</v>
      </c>
      <c r="G7" s="404" t="s">
        <v>1048</v>
      </c>
      <c r="H7" s="404" t="s">
        <v>1048</v>
      </c>
      <c r="I7" s="404" t="s">
        <v>1048</v>
      </c>
      <c r="J7" s="404" t="s">
        <v>1048</v>
      </c>
      <c r="K7" s="404" t="s">
        <v>1048</v>
      </c>
      <c r="L7" s="404" t="s">
        <v>1048</v>
      </c>
      <c r="M7" s="404" t="s">
        <v>1048</v>
      </c>
      <c r="N7" s="404" t="s">
        <v>1048</v>
      </c>
      <c r="O7" s="404" t="s">
        <v>1048</v>
      </c>
      <c r="P7" s="404" t="s">
        <v>1048</v>
      </c>
      <c r="Q7" s="404" t="s">
        <v>1048</v>
      </c>
      <c r="R7" s="404" t="s">
        <v>1048</v>
      </c>
      <c r="S7" s="404" t="s">
        <v>1048</v>
      </c>
      <c r="T7" s="404" t="s">
        <v>1048</v>
      </c>
      <c r="U7" s="404" t="s">
        <v>1048</v>
      </c>
      <c r="V7" s="404" t="s">
        <v>1048</v>
      </c>
      <c r="W7" s="404" t="s">
        <v>1048</v>
      </c>
      <c r="X7" s="404" t="s">
        <v>1048</v>
      </c>
      <c r="Y7" s="404" t="s">
        <v>1048</v>
      </c>
    </row>
    <row r="8" spans="3:25" x14ac:dyDescent="0.25">
      <c r="C8" s="68" t="str">
        <f>'G-1 All Habitats'!B6</f>
        <v>Cropland - Arable field margins tussocky</v>
      </c>
      <c r="D8" s="404" t="s">
        <v>1048</v>
      </c>
      <c r="E8" s="404">
        <v>1</v>
      </c>
      <c r="F8" s="404" t="s">
        <v>1048</v>
      </c>
      <c r="G8" s="404" t="s">
        <v>1048</v>
      </c>
      <c r="H8" s="404" t="s">
        <v>1048</v>
      </c>
      <c r="I8" s="404" t="s">
        <v>1048</v>
      </c>
      <c r="J8" s="404" t="s">
        <v>1048</v>
      </c>
      <c r="K8" s="404" t="s">
        <v>1048</v>
      </c>
      <c r="L8" s="404" t="s">
        <v>1048</v>
      </c>
      <c r="M8" s="404" t="s">
        <v>1048</v>
      </c>
      <c r="N8" s="404" t="s">
        <v>1048</v>
      </c>
      <c r="O8" s="404" t="s">
        <v>1048</v>
      </c>
      <c r="P8" s="404" t="s">
        <v>1048</v>
      </c>
      <c r="Q8" s="404" t="s">
        <v>1048</v>
      </c>
      <c r="R8" s="404" t="s">
        <v>1048</v>
      </c>
      <c r="S8" s="404" t="s">
        <v>1048</v>
      </c>
      <c r="T8" s="404" t="s">
        <v>1048</v>
      </c>
      <c r="U8" s="404" t="s">
        <v>1048</v>
      </c>
      <c r="V8" s="404" t="s">
        <v>1048</v>
      </c>
      <c r="W8" s="404" t="s">
        <v>1048</v>
      </c>
      <c r="X8" s="404" t="s">
        <v>1048</v>
      </c>
      <c r="Y8" s="404" t="s">
        <v>1048</v>
      </c>
    </row>
    <row r="9" spans="3:25" x14ac:dyDescent="0.25">
      <c r="C9" s="68" t="str">
        <f>'G-1 All Habitats'!B7</f>
        <v>Cropland - Cereal crops</v>
      </c>
      <c r="D9" s="404" t="s">
        <v>1048</v>
      </c>
      <c r="E9" s="404" t="s">
        <v>1048</v>
      </c>
      <c r="F9" s="404" t="s">
        <v>1048</v>
      </c>
      <c r="G9" s="404" t="s">
        <v>1048</v>
      </c>
      <c r="H9" s="404" t="s">
        <v>1048</v>
      </c>
      <c r="I9" s="404" t="s">
        <v>1048</v>
      </c>
      <c r="J9" s="404" t="s">
        <v>1048</v>
      </c>
      <c r="K9" s="404" t="s">
        <v>1048</v>
      </c>
      <c r="L9" s="404" t="s">
        <v>1048</v>
      </c>
      <c r="M9" s="404" t="s">
        <v>1048</v>
      </c>
      <c r="N9" s="404" t="s">
        <v>1048</v>
      </c>
      <c r="O9" s="404" t="s">
        <v>1048</v>
      </c>
      <c r="P9" s="404" t="s">
        <v>1048</v>
      </c>
      <c r="Q9" s="404" t="s">
        <v>1048</v>
      </c>
      <c r="R9" s="404" t="s">
        <v>1048</v>
      </c>
      <c r="S9" s="404" t="s">
        <v>1048</v>
      </c>
      <c r="T9" s="404" t="s">
        <v>1048</v>
      </c>
      <c r="U9" s="404" t="s">
        <v>1048</v>
      </c>
      <c r="V9" s="404" t="s">
        <v>1048</v>
      </c>
      <c r="W9" s="404" t="s">
        <v>1048</v>
      </c>
      <c r="X9" s="404" t="s">
        <v>1048</v>
      </c>
      <c r="Y9" s="404" t="s">
        <v>1048</v>
      </c>
    </row>
    <row r="10" spans="3:25" x14ac:dyDescent="0.25">
      <c r="C10" s="68" t="str">
        <f>'G-1 All Habitats'!B8</f>
        <v>Cropland - Winter stubble</v>
      </c>
      <c r="D10" s="404" t="s">
        <v>1048</v>
      </c>
      <c r="E10" s="404" t="s">
        <v>1048</v>
      </c>
      <c r="F10" s="404" t="s">
        <v>1048</v>
      </c>
      <c r="G10" s="404" t="s">
        <v>1048</v>
      </c>
      <c r="H10" s="404" t="s">
        <v>1048</v>
      </c>
      <c r="I10" s="404" t="s">
        <v>1048</v>
      </c>
      <c r="J10" s="404" t="s">
        <v>1048</v>
      </c>
      <c r="K10" s="404" t="s">
        <v>1048</v>
      </c>
      <c r="L10" s="404" t="s">
        <v>1048</v>
      </c>
      <c r="M10" s="404" t="s">
        <v>1048</v>
      </c>
      <c r="N10" s="404" t="s">
        <v>1048</v>
      </c>
      <c r="O10" s="404" t="s">
        <v>1048</v>
      </c>
      <c r="P10" s="404" t="s">
        <v>1048</v>
      </c>
      <c r="Q10" s="404" t="s">
        <v>1048</v>
      </c>
      <c r="R10" s="404" t="s">
        <v>1048</v>
      </c>
      <c r="S10" s="404" t="s">
        <v>1048</v>
      </c>
      <c r="T10" s="404" t="s">
        <v>1048</v>
      </c>
      <c r="U10" s="404" t="s">
        <v>1048</v>
      </c>
      <c r="V10" s="404" t="s">
        <v>1048</v>
      </c>
      <c r="W10" s="404" t="s">
        <v>1048</v>
      </c>
      <c r="X10" s="404" t="s">
        <v>1048</v>
      </c>
      <c r="Y10" s="404" t="s">
        <v>1048</v>
      </c>
    </row>
    <row r="11" spans="3:25" x14ac:dyDescent="0.25">
      <c r="C11" s="68" t="str">
        <f>'G-1 All Habitats'!B9</f>
        <v>Cropland - Horticulture</v>
      </c>
      <c r="D11" s="404" t="s">
        <v>1048</v>
      </c>
      <c r="E11" s="404" t="s">
        <v>1048</v>
      </c>
      <c r="F11" s="404" t="s">
        <v>1048</v>
      </c>
      <c r="G11" s="404" t="s">
        <v>1048</v>
      </c>
      <c r="H11" s="404" t="s">
        <v>1048</v>
      </c>
      <c r="I11" s="404" t="s">
        <v>1048</v>
      </c>
      <c r="J11" s="404" t="s">
        <v>1048</v>
      </c>
      <c r="K11" s="404" t="s">
        <v>1048</v>
      </c>
      <c r="L11" s="404" t="s">
        <v>1048</v>
      </c>
      <c r="M11" s="404" t="s">
        <v>1048</v>
      </c>
      <c r="N11" s="404" t="s">
        <v>1048</v>
      </c>
      <c r="O11" s="404" t="s">
        <v>1048</v>
      </c>
      <c r="P11" s="404" t="s">
        <v>1048</v>
      </c>
      <c r="Q11" s="404" t="s">
        <v>1048</v>
      </c>
      <c r="R11" s="404" t="s">
        <v>1048</v>
      </c>
      <c r="S11" s="404" t="s">
        <v>1048</v>
      </c>
      <c r="T11" s="404" t="s">
        <v>1048</v>
      </c>
      <c r="U11" s="404" t="s">
        <v>1048</v>
      </c>
      <c r="V11" s="404" t="s">
        <v>1048</v>
      </c>
      <c r="W11" s="404" t="s">
        <v>1048</v>
      </c>
      <c r="X11" s="404" t="s">
        <v>1048</v>
      </c>
      <c r="Y11" s="404" t="s">
        <v>1048</v>
      </c>
    </row>
    <row r="12" spans="3:25" x14ac:dyDescent="0.25">
      <c r="C12" s="68" t="str">
        <f>'G-1 All Habitats'!B10</f>
        <v>Cropland - Intensive orchards</v>
      </c>
      <c r="D12" s="404" t="s">
        <v>1048</v>
      </c>
      <c r="E12" s="404" t="s">
        <v>1048</v>
      </c>
      <c r="F12" s="404" t="s">
        <v>1048</v>
      </c>
      <c r="G12" s="404" t="s">
        <v>1048</v>
      </c>
      <c r="H12" s="404" t="s">
        <v>1048</v>
      </c>
      <c r="I12" s="404" t="s">
        <v>1048</v>
      </c>
      <c r="J12" s="404" t="s">
        <v>1048</v>
      </c>
      <c r="K12" s="404" t="s">
        <v>1048</v>
      </c>
      <c r="L12" s="404" t="s">
        <v>1048</v>
      </c>
      <c r="M12" s="404" t="s">
        <v>1048</v>
      </c>
      <c r="N12" s="404" t="s">
        <v>1048</v>
      </c>
      <c r="O12" s="404" t="s">
        <v>1048</v>
      </c>
      <c r="P12" s="404" t="s">
        <v>1048</v>
      </c>
      <c r="Q12" s="404" t="s">
        <v>1048</v>
      </c>
      <c r="R12" s="404" t="s">
        <v>1048</v>
      </c>
      <c r="S12" s="404" t="s">
        <v>1048</v>
      </c>
      <c r="T12" s="404" t="s">
        <v>1048</v>
      </c>
      <c r="U12" s="404" t="s">
        <v>1048</v>
      </c>
      <c r="V12" s="404" t="s">
        <v>1048</v>
      </c>
      <c r="W12" s="404" t="s">
        <v>1048</v>
      </c>
      <c r="X12" s="404" t="s">
        <v>1048</v>
      </c>
      <c r="Y12" s="404" t="s">
        <v>1048</v>
      </c>
    </row>
    <row r="13" spans="3:25" x14ac:dyDescent="0.25">
      <c r="C13" s="68" t="str">
        <f>'G-1 All Habitats'!B11</f>
        <v>Cropland - Non-cereal crops</v>
      </c>
      <c r="D13" s="404" t="s">
        <v>1048</v>
      </c>
      <c r="E13" s="404" t="s">
        <v>1048</v>
      </c>
      <c r="F13" s="404" t="s">
        <v>1048</v>
      </c>
      <c r="G13" s="404" t="s">
        <v>1048</v>
      </c>
      <c r="H13" s="404" t="s">
        <v>1048</v>
      </c>
      <c r="I13" s="404" t="s">
        <v>1048</v>
      </c>
      <c r="J13" s="404" t="s">
        <v>1048</v>
      </c>
      <c r="K13" s="404" t="s">
        <v>1048</v>
      </c>
      <c r="L13" s="404" t="s">
        <v>1048</v>
      </c>
      <c r="M13" s="404" t="s">
        <v>1048</v>
      </c>
      <c r="N13" s="404" t="s">
        <v>1048</v>
      </c>
      <c r="O13" s="404" t="s">
        <v>1048</v>
      </c>
      <c r="P13" s="404" t="s">
        <v>1048</v>
      </c>
      <c r="Q13" s="404" t="s">
        <v>1048</v>
      </c>
      <c r="R13" s="404" t="s">
        <v>1048</v>
      </c>
      <c r="S13" s="404" t="s">
        <v>1048</v>
      </c>
      <c r="T13" s="404" t="s">
        <v>1048</v>
      </c>
      <c r="U13" s="404" t="s">
        <v>1048</v>
      </c>
      <c r="V13" s="404" t="s">
        <v>1048</v>
      </c>
      <c r="W13" s="404" t="s">
        <v>1048</v>
      </c>
      <c r="X13" s="404" t="s">
        <v>1048</v>
      </c>
      <c r="Y13" s="404" t="s">
        <v>1048</v>
      </c>
    </row>
    <row r="14" spans="3:25" x14ac:dyDescent="0.25">
      <c r="C14" s="68" t="str">
        <f>'G-1 All Habitats'!B12</f>
        <v>Cropland - Temporary grass and clover leys</v>
      </c>
      <c r="D14" s="404" t="s">
        <v>1048</v>
      </c>
      <c r="E14" s="404" t="s">
        <v>1048</v>
      </c>
      <c r="F14" s="404" t="s">
        <v>1048</v>
      </c>
      <c r="G14" s="404" t="s">
        <v>1048</v>
      </c>
      <c r="H14" s="404" t="s">
        <v>1048</v>
      </c>
      <c r="I14" s="404" t="s">
        <v>1048</v>
      </c>
      <c r="J14" s="404" t="s">
        <v>1048</v>
      </c>
      <c r="K14" s="404" t="s">
        <v>1048</v>
      </c>
      <c r="L14" s="404" t="s">
        <v>1048</v>
      </c>
      <c r="M14" s="404" t="s">
        <v>1048</v>
      </c>
      <c r="N14" s="404" t="s">
        <v>1048</v>
      </c>
      <c r="O14" s="404" t="s">
        <v>1048</v>
      </c>
      <c r="P14" s="404" t="s">
        <v>1048</v>
      </c>
      <c r="Q14" s="404" t="s">
        <v>1048</v>
      </c>
      <c r="R14" s="404" t="s">
        <v>1048</v>
      </c>
      <c r="S14" s="404" t="s">
        <v>1048</v>
      </c>
      <c r="T14" s="404" t="s">
        <v>1048</v>
      </c>
      <c r="U14" s="404" t="s">
        <v>1048</v>
      </c>
      <c r="V14" s="404" t="s">
        <v>1048</v>
      </c>
      <c r="W14" s="404" t="s">
        <v>1048</v>
      </c>
      <c r="X14" s="404" t="s">
        <v>1048</v>
      </c>
      <c r="Y14" s="404" t="s">
        <v>1048</v>
      </c>
    </row>
    <row r="15" spans="3:25" x14ac:dyDescent="0.25">
      <c r="C15" s="68" t="str">
        <f>'G-1 All Habitats'!B13</f>
        <v>Grassland - Traditional orchards</v>
      </c>
      <c r="D15" s="404" t="s">
        <v>1048</v>
      </c>
      <c r="E15" s="404" t="s">
        <v>1048</v>
      </c>
      <c r="F15" s="404">
        <v>5</v>
      </c>
      <c r="G15" s="404">
        <v>10</v>
      </c>
      <c r="H15" s="404">
        <v>20</v>
      </c>
      <c r="I15" s="404">
        <v>25</v>
      </c>
      <c r="J15" s="404">
        <v>30</v>
      </c>
      <c r="K15" s="404" t="s">
        <v>1048</v>
      </c>
      <c r="L15" s="404" t="s">
        <v>1048</v>
      </c>
      <c r="M15" s="404" t="s">
        <v>1048</v>
      </c>
      <c r="N15" s="404" t="s">
        <v>1048</v>
      </c>
      <c r="O15" s="404">
        <v>5</v>
      </c>
      <c r="P15" s="404">
        <v>15</v>
      </c>
      <c r="Q15" s="404">
        <v>20</v>
      </c>
      <c r="R15" s="404">
        <v>25</v>
      </c>
      <c r="S15" s="404">
        <v>10</v>
      </c>
      <c r="T15" s="404">
        <v>15</v>
      </c>
      <c r="U15" s="404">
        <v>20</v>
      </c>
      <c r="V15" s="404">
        <v>5</v>
      </c>
      <c r="W15" s="404">
        <v>10</v>
      </c>
      <c r="X15" s="404">
        <v>5</v>
      </c>
      <c r="Y15" s="404" t="s">
        <v>1048</v>
      </c>
    </row>
    <row r="16" spans="3:25" x14ac:dyDescent="0.25">
      <c r="C16" s="68" t="str">
        <f>'G-1 All Habitats'!B14</f>
        <v>Grassland - Bracken</v>
      </c>
      <c r="D16" s="404" t="s">
        <v>1048</v>
      </c>
      <c r="E16" s="404" t="s">
        <v>1048</v>
      </c>
      <c r="F16" s="404">
        <v>1</v>
      </c>
      <c r="G16" s="404" t="s">
        <v>1048</v>
      </c>
      <c r="H16" s="404" t="s">
        <v>1048</v>
      </c>
      <c r="I16" s="404" t="s">
        <v>1048</v>
      </c>
      <c r="J16" s="404" t="s">
        <v>1048</v>
      </c>
      <c r="K16" s="404" t="s">
        <v>1048</v>
      </c>
      <c r="L16" s="404" t="s">
        <v>1048</v>
      </c>
      <c r="M16" s="404" t="s">
        <v>1048</v>
      </c>
      <c r="N16" s="404" t="s">
        <v>1048</v>
      </c>
      <c r="O16" s="404" t="s">
        <v>1048</v>
      </c>
      <c r="P16" s="404" t="s">
        <v>1048</v>
      </c>
      <c r="Q16" s="404" t="s">
        <v>1048</v>
      </c>
      <c r="R16" s="404" t="s">
        <v>1048</v>
      </c>
      <c r="S16" s="404" t="s">
        <v>1048</v>
      </c>
      <c r="T16" s="404" t="s">
        <v>1048</v>
      </c>
      <c r="U16" s="404" t="s">
        <v>1048</v>
      </c>
      <c r="V16" s="404" t="s">
        <v>1048</v>
      </c>
      <c r="W16" s="404" t="s">
        <v>1048</v>
      </c>
      <c r="X16" s="404" t="s">
        <v>1048</v>
      </c>
      <c r="Y16" s="404" t="s">
        <v>1048</v>
      </c>
    </row>
    <row r="17" spans="3:25" x14ac:dyDescent="0.25">
      <c r="C17" s="68" t="str">
        <f>'G-1 All Habitats'!B15</f>
        <v>Grassland - Floodplain wetland mosaic and CFGM</v>
      </c>
      <c r="D17" s="404" t="s">
        <v>1048</v>
      </c>
      <c r="E17" s="404" t="s">
        <v>1048</v>
      </c>
      <c r="F17" s="404">
        <v>5</v>
      </c>
      <c r="G17" s="404">
        <v>8</v>
      </c>
      <c r="H17" s="404">
        <v>10</v>
      </c>
      <c r="I17" s="404">
        <v>12</v>
      </c>
      <c r="J17" s="404">
        <v>15</v>
      </c>
      <c r="K17" s="404" t="s">
        <v>1048</v>
      </c>
      <c r="L17" s="404" t="s">
        <v>1048</v>
      </c>
      <c r="M17" s="404" t="s">
        <v>1048</v>
      </c>
      <c r="N17" s="404" t="s">
        <v>1048</v>
      </c>
      <c r="O17" s="404">
        <v>8</v>
      </c>
      <c r="P17" s="404">
        <v>10</v>
      </c>
      <c r="Q17" s="404">
        <v>12</v>
      </c>
      <c r="R17" s="404">
        <v>15</v>
      </c>
      <c r="S17" s="404">
        <v>2</v>
      </c>
      <c r="T17" s="404">
        <v>4</v>
      </c>
      <c r="U17" s="404">
        <v>7</v>
      </c>
      <c r="V17" s="404">
        <v>2</v>
      </c>
      <c r="W17" s="404">
        <v>4</v>
      </c>
      <c r="X17" s="404">
        <v>3</v>
      </c>
      <c r="Y17" s="404" t="s">
        <v>1048</v>
      </c>
    </row>
    <row r="18" spans="3:25" x14ac:dyDescent="0.25">
      <c r="C18" s="68" t="str">
        <f>'G-1 All Habitats'!B16</f>
        <v>Grassland - Lowland calcareous grassland</v>
      </c>
      <c r="D18" s="404" t="s">
        <v>1048</v>
      </c>
      <c r="E18" s="404" t="s">
        <v>1048</v>
      </c>
      <c r="F18" s="404">
        <v>10</v>
      </c>
      <c r="G18" s="404">
        <v>15</v>
      </c>
      <c r="H18" s="404">
        <v>20</v>
      </c>
      <c r="I18" s="404">
        <v>25</v>
      </c>
      <c r="J18" s="404">
        <v>30</v>
      </c>
      <c r="K18" s="404" t="s">
        <v>1048</v>
      </c>
      <c r="L18" s="404" t="s">
        <v>1048</v>
      </c>
      <c r="M18" s="404" t="s">
        <v>1048</v>
      </c>
      <c r="N18" s="404" t="s">
        <v>1048</v>
      </c>
      <c r="O18" s="404">
        <v>5</v>
      </c>
      <c r="P18" s="404">
        <v>10</v>
      </c>
      <c r="Q18" s="404">
        <v>15</v>
      </c>
      <c r="R18" s="404">
        <v>20</v>
      </c>
      <c r="S18" s="404">
        <v>5</v>
      </c>
      <c r="T18" s="404">
        <v>10</v>
      </c>
      <c r="U18" s="404">
        <v>15</v>
      </c>
      <c r="V18" s="404">
        <v>5</v>
      </c>
      <c r="W18" s="404">
        <v>10</v>
      </c>
      <c r="X18" s="404">
        <v>5</v>
      </c>
      <c r="Y18" s="404" t="s">
        <v>1048</v>
      </c>
    </row>
    <row r="19" spans="3:25" x14ac:dyDescent="0.25">
      <c r="C19" s="68" t="str">
        <f>'G-1 All Habitats'!B17</f>
        <v>Grassland - Lowland dry acid grassland</v>
      </c>
      <c r="D19" s="404" t="s">
        <v>1048</v>
      </c>
      <c r="E19" s="404" t="s">
        <v>1048</v>
      </c>
      <c r="F19" s="404">
        <v>10</v>
      </c>
      <c r="G19" s="404">
        <v>15</v>
      </c>
      <c r="H19" s="404">
        <v>20</v>
      </c>
      <c r="I19" s="404">
        <v>25</v>
      </c>
      <c r="J19" s="404" t="s">
        <v>1049</v>
      </c>
      <c r="K19" s="404" t="s">
        <v>1048</v>
      </c>
      <c r="L19" s="404" t="s">
        <v>1048</v>
      </c>
      <c r="M19" s="404" t="s">
        <v>1048</v>
      </c>
      <c r="N19" s="404" t="s">
        <v>1048</v>
      </c>
      <c r="O19" s="404">
        <v>5</v>
      </c>
      <c r="P19" s="404">
        <v>15</v>
      </c>
      <c r="Q19" s="404">
        <v>20</v>
      </c>
      <c r="R19" s="404" t="s">
        <v>1049</v>
      </c>
      <c r="S19" s="404">
        <v>8</v>
      </c>
      <c r="T19" s="404">
        <v>15</v>
      </c>
      <c r="U19" s="404">
        <v>25</v>
      </c>
      <c r="V19" s="404">
        <v>10</v>
      </c>
      <c r="W19" s="404">
        <v>20</v>
      </c>
      <c r="X19" s="404">
        <v>10</v>
      </c>
      <c r="Y19" s="404" t="s">
        <v>1048</v>
      </c>
    </row>
    <row r="20" spans="3:25" x14ac:dyDescent="0.25">
      <c r="C20" s="68" t="str">
        <f>'G-1 All Habitats'!B18</f>
        <v>Grassland - Lowland meadows</v>
      </c>
      <c r="D20" s="404" t="s">
        <v>1048</v>
      </c>
      <c r="E20" s="404" t="s">
        <v>1048</v>
      </c>
      <c r="F20" s="404">
        <v>5</v>
      </c>
      <c r="G20" s="404">
        <v>8</v>
      </c>
      <c r="H20" s="404">
        <v>10</v>
      </c>
      <c r="I20" s="404">
        <v>12</v>
      </c>
      <c r="J20" s="404">
        <v>15</v>
      </c>
      <c r="K20" s="404" t="s">
        <v>1048</v>
      </c>
      <c r="L20" s="404" t="s">
        <v>1048</v>
      </c>
      <c r="M20" s="404" t="s">
        <v>1048</v>
      </c>
      <c r="N20" s="404" t="s">
        <v>1048</v>
      </c>
      <c r="O20" s="404">
        <v>4</v>
      </c>
      <c r="P20" s="404">
        <v>8</v>
      </c>
      <c r="Q20" s="404">
        <v>11</v>
      </c>
      <c r="R20" s="404">
        <v>15</v>
      </c>
      <c r="S20" s="404">
        <v>4</v>
      </c>
      <c r="T20" s="404">
        <v>8</v>
      </c>
      <c r="U20" s="404">
        <v>11</v>
      </c>
      <c r="V20" s="404">
        <v>4</v>
      </c>
      <c r="W20" s="404">
        <v>8</v>
      </c>
      <c r="X20" s="404">
        <v>4</v>
      </c>
      <c r="Y20" s="404" t="s">
        <v>1048</v>
      </c>
    </row>
    <row r="21" spans="3:25" x14ac:dyDescent="0.25">
      <c r="C21" s="68" t="str">
        <f>'G-1 All Habitats'!B19</f>
        <v>Grassland - Modified grassland</v>
      </c>
      <c r="D21" s="404" t="s">
        <v>1048</v>
      </c>
      <c r="E21" s="404">
        <v>1</v>
      </c>
      <c r="F21" s="404">
        <v>1</v>
      </c>
      <c r="G21" s="404">
        <v>5</v>
      </c>
      <c r="H21" s="404">
        <v>10</v>
      </c>
      <c r="I21" s="404">
        <v>12</v>
      </c>
      <c r="J21" s="404">
        <v>15</v>
      </c>
      <c r="K21" s="404" t="s">
        <v>1048</v>
      </c>
      <c r="L21" s="404" t="s">
        <v>1048</v>
      </c>
      <c r="M21" s="404" t="s">
        <v>1048</v>
      </c>
      <c r="N21" s="404" t="s">
        <v>1048</v>
      </c>
      <c r="O21" s="404">
        <v>5</v>
      </c>
      <c r="P21" s="404">
        <v>10</v>
      </c>
      <c r="Q21" s="404">
        <v>12</v>
      </c>
      <c r="R21" s="404">
        <v>15</v>
      </c>
      <c r="S21" s="404">
        <v>8</v>
      </c>
      <c r="T21" s="404">
        <v>10</v>
      </c>
      <c r="U21" s="404">
        <v>12</v>
      </c>
      <c r="V21" s="404">
        <v>8</v>
      </c>
      <c r="W21" s="404">
        <v>10</v>
      </c>
      <c r="X21" s="404">
        <v>8</v>
      </c>
      <c r="Y21" s="404" t="s">
        <v>1048</v>
      </c>
    </row>
    <row r="22" spans="3:25" x14ac:dyDescent="0.25">
      <c r="C22" s="68" t="str">
        <f>'G-1 All Habitats'!B20</f>
        <v>Grassland - Other lowland acid grassland</v>
      </c>
      <c r="D22" s="404" t="s">
        <v>1048</v>
      </c>
      <c r="E22" s="404" t="s">
        <v>1048</v>
      </c>
      <c r="F22" s="404">
        <v>1</v>
      </c>
      <c r="G22" s="404">
        <v>5</v>
      </c>
      <c r="H22" s="404">
        <v>10</v>
      </c>
      <c r="I22" s="404">
        <v>12</v>
      </c>
      <c r="J22" s="404">
        <v>15</v>
      </c>
      <c r="K22" s="404" t="s">
        <v>1048</v>
      </c>
      <c r="L22" s="404" t="s">
        <v>1048</v>
      </c>
      <c r="M22" s="404" t="s">
        <v>1048</v>
      </c>
      <c r="N22" s="404" t="s">
        <v>1048</v>
      </c>
      <c r="O22" s="404">
        <v>5</v>
      </c>
      <c r="P22" s="404">
        <v>10</v>
      </c>
      <c r="Q22" s="404">
        <v>12</v>
      </c>
      <c r="R22" s="404">
        <v>15</v>
      </c>
      <c r="S22" s="404">
        <v>8</v>
      </c>
      <c r="T22" s="404">
        <v>10</v>
      </c>
      <c r="U22" s="404">
        <v>12</v>
      </c>
      <c r="V22" s="404">
        <v>8</v>
      </c>
      <c r="W22" s="404">
        <v>10</v>
      </c>
      <c r="X22" s="404">
        <v>8</v>
      </c>
      <c r="Y22" s="404" t="s">
        <v>1048</v>
      </c>
    </row>
    <row r="23" spans="3:25" x14ac:dyDescent="0.25">
      <c r="C23" s="68" t="str">
        <f>'G-1 All Habitats'!B21</f>
        <v>Grassland - Other neutral grassland</v>
      </c>
      <c r="D23" s="404" t="s">
        <v>1048</v>
      </c>
      <c r="E23" s="404" t="s">
        <v>1048</v>
      </c>
      <c r="F23" s="404">
        <v>1</v>
      </c>
      <c r="G23" s="404">
        <v>5</v>
      </c>
      <c r="H23" s="404">
        <v>10</v>
      </c>
      <c r="I23" s="404">
        <v>12</v>
      </c>
      <c r="J23" s="404">
        <v>15</v>
      </c>
      <c r="K23" s="404" t="s">
        <v>1048</v>
      </c>
      <c r="L23" s="404" t="s">
        <v>1048</v>
      </c>
      <c r="M23" s="404" t="s">
        <v>1048</v>
      </c>
      <c r="N23" s="404" t="s">
        <v>1048</v>
      </c>
      <c r="O23" s="404">
        <v>5</v>
      </c>
      <c r="P23" s="404">
        <v>10</v>
      </c>
      <c r="Q23" s="404">
        <v>12</v>
      </c>
      <c r="R23" s="404">
        <v>15</v>
      </c>
      <c r="S23" s="404">
        <v>8</v>
      </c>
      <c r="T23" s="404">
        <v>10</v>
      </c>
      <c r="U23" s="404">
        <v>12</v>
      </c>
      <c r="V23" s="404">
        <v>8</v>
      </c>
      <c r="W23" s="404">
        <v>10</v>
      </c>
      <c r="X23" s="404">
        <v>8</v>
      </c>
      <c r="Y23" s="404" t="s">
        <v>1048</v>
      </c>
    </row>
    <row r="24" spans="3:25" x14ac:dyDescent="0.25">
      <c r="C24" s="68" t="str">
        <f>'G-1 All Habitats'!B22</f>
        <v>Grassland - Tall herb communities (H6430)</v>
      </c>
      <c r="D24" s="404" t="s">
        <v>1048</v>
      </c>
      <c r="E24" s="404" t="s">
        <v>1048</v>
      </c>
      <c r="F24" s="404">
        <v>10</v>
      </c>
      <c r="G24" s="404">
        <v>15</v>
      </c>
      <c r="H24" s="404">
        <v>20</v>
      </c>
      <c r="I24" s="404">
        <v>25</v>
      </c>
      <c r="J24" s="404">
        <v>30</v>
      </c>
      <c r="K24" s="404" t="s">
        <v>1048</v>
      </c>
      <c r="L24" s="404" t="s">
        <v>1048</v>
      </c>
      <c r="M24" s="404" t="s">
        <v>1048</v>
      </c>
      <c r="N24" s="404" t="s">
        <v>1048</v>
      </c>
      <c r="O24" s="404">
        <v>10</v>
      </c>
      <c r="P24" s="404">
        <v>20</v>
      </c>
      <c r="Q24" s="404">
        <v>25</v>
      </c>
      <c r="R24" s="404">
        <v>30</v>
      </c>
      <c r="S24" s="404">
        <v>10</v>
      </c>
      <c r="T24" s="404">
        <v>10</v>
      </c>
      <c r="U24" s="404">
        <v>15</v>
      </c>
      <c r="V24" s="404">
        <v>5</v>
      </c>
      <c r="W24" s="404">
        <v>10</v>
      </c>
      <c r="X24" s="404">
        <v>5</v>
      </c>
      <c r="Y24" s="404" t="s">
        <v>1048</v>
      </c>
    </row>
    <row r="25" spans="3:25" x14ac:dyDescent="0.25">
      <c r="C25" s="68" t="str">
        <f>'G-1 All Habitats'!B23</f>
        <v>Grassland - Upland acid grassland</v>
      </c>
      <c r="D25" s="404" t="s">
        <v>1048</v>
      </c>
      <c r="E25" s="404" t="s">
        <v>1048</v>
      </c>
      <c r="F25" s="404">
        <v>1</v>
      </c>
      <c r="G25" s="404">
        <v>5</v>
      </c>
      <c r="H25" s="404">
        <v>10</v>
      </c>
      <c r="I25" s="404">
        <v>12</v>
      </c>
      <c r="J25" s="404">
        <v>15</v>
      </c>
      <c r="K25" s="404" t="s">
        <v>1048</v>
      </c>
      <c r="L25" s="404" t="s">
        <v>1048</v>
      </c>
      <c r="M25" s="404" t="s">
        <v>1048</v>
      </c>
      <c r="N25" s="404" t="s">
        <v>1048</v>
      </c>
      <c r="O25" s="404">
        <v>5</v>
      </c>
      <c r="P25" s="404">
        <v>10</v>
      </c>
      <c r="Q25" s="404">
        <v>12</v>
      </c>
      <c r="R25" s="404">
        <v>15</v>
      </c>
      <c r="S25" s="404">
        <v>8</v>
      </c>
      <c r="T25" s="404">
        <v>10</v>
      </c>
      <c r="U25" s="404">
        <v>12</v>
      </c>
      <c r="V25" s="404">
        <v>8</v>
      </c>
      <c r="W25" s="404">
        <v>10</v>
      </c>
      <c r="X25" s="404">
        <v>8</v>
      </c>
      <c r="Y25" s="404" t="s">
        <v>1048</v>
      </c>
    </row>
    <row r="26" spans="3:25" x14ac:dyDescent="0.25">
      <c r="C26" s="68" t="str">
        <f>'G-1 All Habitats'!B24</f>
        <v>Grassland - Upland calcareous grassland</v>
      </c>
      <c r="D26" s="404" t="s">
        <v>1048</v>
      </c>
      <c r="E26" s="404" t="s">
        <v>1048</v>
      </c>
      <c r="F26" s="404">
        <v>10</v>
      </c>
      <c r="G26" s="404">
        <v>12</v>
      </c>
      <c r="H26" s="404">
        <v>15</v>
      </c>
      <c r="I26" s="404">
        <v>20</v>
      </c>
      <c r="J26" s="404">
        <v>25</v>
      </c>
      <c r="K26" s="404" t="s">
        <v>1048</v>
      </c>
      <c r="L26" s="404" t="s">
        <v>1048</v>
      </c>
      <c r="M26" s="404" t="s">
        <v>1048</v>
      </c>
      <c r="N26" s="404" t="s">
        <v>1048</v>
      </c>
      <c r="O26" s="404">
        <v>10</v>
      </c>
      <c r="P26" s="404">
        <v>15</v>
      </c>
      <c r="Q26" s="404">
        <v>18</v>
      </c>
      <c r="R26" s="404">
        <v>20</v>
      </c>
      <c r="S26" s="404">
        <v>10</v>
      </c>
      <c r="T26" s="404">
        <v>15</v>
      </c>
      <c r="U26" s="404">
        <v>18</v>
      </c>
      <c r="V26" s="404">
        <v>10</v>
      </c>
      <c r="W26" s="404">
        <v>10</v>
      </c>
      <c r="X26" s="404">
        <v>10</v>
      </c>
      <c r="Y26" s="404" t="s">
        <v>1048</v>
      </c>
    </row>
    <row r="27" spans="3:25" x14ac:dyDescent="0.25">
      <c r="C27" s="68" t="str">
        <f>'G-1 All Habitats'!B25</f>
        <v>Grassland - Upland hay meadows</v>
      </c>
      <c r="D27" s="404" t="s">
        <v>1048</v>
      </c>
      <c r="E27" s="404" t="s">
        <v>1048</v>
      </c>
      <c r="F27" s="404">
        <v>10</v>
      </c>
      <c r="G27" s="404">
        <v>12</v>
      </c>
      <c r="H27" s="404">
        <v>15</v>
      </c>
      <c r="I27" s="404">
        <v>18</v>
      </c>
      <c r="J27" s="404">
        <v>20</v>
      </c>
      <c r="K27" s="404" t="s">
        <v>1048</v>
      </c>
      <c r="L27" s="404" t="s">
        <v>1048</v>
      </c>
      <c r="M27" s="404" t="s">
        <v>1048</v>
      </c>
      <c r="N27" s="404" t="s">
        <v>1048</v>
      </c>
      <c r="O27" s="404">
        <v>10</v>
      </c>
      <c r="P27" s="404">
        <v>15</v>
      </c>
      <c r="Q27" s="404">
        <v>18</v>
      </c>
      <c r="R27" s="404">
        <v>20</v>
      </c>
      <c r="S27" s="404">
        <v>10</v>
      </c>
      <c r="T27" s="404">
        <v>15</v>
      </c>
      <c r="U27" s="404">
        <v>18</v>
      </c>
      <c r="V27" s="404">
        <v>10</v>
      </c>
      <c r="W27" s="404">
        <v>15</v>
      </c>
      <c r="X27" s="404">
        <v>10</v>
      </c>
      <c r="Y27" s="404" t="s">
        <v>1048</v>
      </c>
    </row>
    <row r="28" spans="3:25" x14ac:dyDescent="0.25">
      <c r="C28" s="68" t="str">
        <f>'G-1 All Habitats'!B26</f>
        <v>Heathland and shrub - Blackthorn scrub</v>
      </c>
      <c r="D28" s="404" t="s">
        <v>1048</v>
      </c>
      <c r="E28" s="404" t="s">
        <v>1048</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1048</v>
      </c>
    </row>
    <row r="29" spans="3:25" x14ac:dyDescent="0.25">
      <c r="C29" s="68" t="str">
        <f>'G-1 All Habitats'!B27</f>
        <v>Heathland and shrub - Bramble scrub</v>
      </c>
      <c r="D29" s="404" t="s">
        <v>1048</v>
      </c>
      <c r="E29" s="404" t="s">
        <v>1048</v>
      </c>
      <c r="F29" s="404">
        <v>1</v>
      </c>
      <c r="G29" s="404" t="s">
        <v>1048</v>
      </c>
      <c r="H29" s="404" t="s">
        <v>1048</v>
      </c>
      <c r="I29" s="404" t="s">
        <v>1048</v>
      </c>
      <c r="J29" s="404" t="s">
        <v>1048</v>
      </c>
      <c r="K29" s="404" t="s">
        <v>1048</v>
      </c>
      <c r="L29" s="404" t="s">
        <v>1048</v>
      </c>
      <c r="M29" s="404" t="s">
        <v>1048</v>
      </c>
      <c r="N29" s="404" t="s">
        <v>1048</v>
      </c>
      <c r="O29" s="404" t="s">
        <v>1048</v>
      </c>
      <c r="P29" s="404" t="s">
        <v>1048</v>
      </c>
      <c r="Q29" s="404" t="s">
        <v>1048</v>
      </c>
      <c r="R29" s="404" t="s">
        <v>1048</v>
      </c>
      <c r="S29" s="404" t="s">
        <v>1048</v>
      </c>
      <c r="T29" s="404" t="s">
        <v>1048</v>
      </c>
      <c r="U29" s="404" t="s">
        <v>1048</v>
      </c>
      <c r="V29" s="404" t="s">
        <v>1048</v>
      </c>
      <c r="W29" s="404" t="s">
        <v>1048</v>
      </c>
      <c r="X29" s="404" t="s">
        <v>1048</v>
      </c>
      <c r="Y29" s="404" t="s">
        <v>1048</v>
      </c>
    </row>
    <row r="30" spans="3:25" x14ac:dyDescent="0.25">
      <c r="C30" s="68" t="str">
        <f>'G-1 All Habitats'!B28</f>
        <v>Heathland and shrub - Gorse scrub</v>
      </c>
      <c r="D30" s="404" t="s">
        <v>1048</v>
      </c>
      <c r="E30" s="404" t="s">
        <v>1048</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1048</v>
      </c>
    </row>
    <row r="31" spans="3:25" x14ac:dyDescent="0.25">
      <c r="C31" s="68" t="str">
        <f>'G-1 All Habitats'!B29</f>
        <v>Heathland and shrub - Hawthorn scrub</v>
      </c>
      <c r="D31" s="404" t="s">
        <v>1048</v>
      </c>
      <c r="E31" s="404" t="s">
        <v>1048</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1048</v>
      </c>
    </row>
    <row r="32" spans="3:25" x14ac:dyDescent="0.25">
      <c r="C32" s="68" t="str">
        <f>'G-1 All Habitats'!B30</f>
        <v>Heathland and shrub - Hazel scrub</v>
      </c>
      <c r="D32" s="404" t="s">
        <v>1048</v>
      </c>
      <c r="E32" s="404" t="s">
        <v>1048</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1048</v>
      </c>
    </row>
    <row r="33" spans="3:25" x14ac:dyDescent="0.25">
      <c r="C33" s="68" t="s">
        <v>606</v>
      </c>
      <c r="D33" s="404" t="s">
        <v>1048</v>
      </c>
      <c r="E33" s="404" t="s">
        <v>1048</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1048</v>
      </c>
    </row>
    <row r="34" spans="3:25" x14ac:dyDescent="0.25">
      <c r="C34" s="68" t="str">
        <f>'G-1 All Habitats'!B31</f>
        <v>Heathland and shrub - Lowland heathland</v>
      </c>
      <c r="D34" s="404" t="s">
        <v>1048</v>
      </c>
      <c r="E34" s="404" t="s">
        <v>1048</v>
      </c>
      <c r="F34" s="404">
        <v>10</v>
      </c>
      <c r="G34" s="404">
        <v>15</v>
      </c>
      <c r="H34" s="404">
        <v>20</v>
      </c>
      <c r="I34" s="404">
        <v>25</v>
      </c>
      <c r="J34" s="404" t="s">
        <v>1049</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1048</v>
      </c>
    </row>
    <row r="35" spans="3:25" x14ac:dyDescent="0.25">
      <c r="C35" s="68" t="str">
        <f>'G-1 All Habitats'!B32</f>
        <v>Heathland and shrub - Mixed scrub</v>
      </c>
      <c r="D35" s="404" t="s">
        <v>1048</v>
      </c>
      <c r="E35" s="404" t="s">
        <v>1048</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1048</v>
      </c>
    </row>
    <row r="36" spans="3:25" x14ac:dyDescent="0.25">
      <c r="C36" s="68" t="str">
        <f>'G-1 All Habitats'!B33</f>
        <v>Heathland and shrub - Mountain heaths and willow scrub</v>
      </c>
      <c r="D36" s="404" t="s">
        <v>1048</v>
      </c>
      <c r="E36" s="404" t="s">
        <v>1048</v>
      </c>
      <c r="F36" s="404">
        <v>15</v>
      </c>
      <c r="G36" s="404">
        <v>23</v>
      </c>
      <c r="H36" s="404">
        <v>25</v>
      </c>
      <c r="I36" s="404" t="s">
        <v>1049</v>
      </c>
      <c r="J36" s="404" t="s">
        <v>1049</v>
      </c>
      <c r="K36" s="404">
        <v>20</v>
      </c>
      <c r="L36" s="404" t="s">
        <v>1049</v>
      </c>
      <c r="M36" s="404" t="s">
        <v>1049</v>
      </c>
      <c r="N36" s="404" t="s">
        <v>1049</v>
      </c>
      <c r="O36" s="404">
        <v>20</v>
      </c>
      <c r="P36" s="404" t="s">
        <v>1049</v>
      </c>
      <c r="Q36" s="404" t="s">
        <v>1049</v>
      </c>
      <c r="R36" s="404" t="s">
        <v>1049</v>
      </c>
      <c r="S36" s="404">
        <v>20</v>
      </c>
      <c r="T36" s="404" t="s">
        <v>1049</v>
      </c>
      <c r="U36" s="404" t="s">
        <v>1049</v>
      </c>
      <c r="V36" s="404">
        <v>20</v>
      </c>
      <c r="W36" s="404" t="s">
        <v>1049</v>
      </c>
      <c r="X36" s="404">
        <v>20</v>
      </c>
      <c r="Y36" s="404" t="s">
        <v>1048</v>
      </c>
    </row>
    <row r="37" spans="3:25" x14ac:dyDescent="0.25">
      <c r="C37" s="68" t="str">
        <f>'G-1 All Habitats'!B34</f>
        <v>Heathland and shrub - Rhododendron scrub</v>
      </c>
      <c r="D37" s="404" t="s">
        <v>1048</v>
      </c>
      <c r="E37" s="404" t="s">
        <v>1048</v>
      </c>
      <c r="F37" s="404">
        <v>1</v>
      </c>
      <c r="G37" s="404" t="s">
        <v>1048</v>
      </c>
      <c r="H37" s="404" t="s">
        <v>1048</v>
      </c>
      <c r="I37" s="404" t="s">
        <v>1048</v>
      </c>
      <c r="J37" s="404" t="s">
        <v>1048</v>
      </c>
      <c r="K37" s="404" t="s">
        <v>1048</v>
      </c>
      <c r="L37" s="404" t="s">
        <v>1048</v>
      </c>
      <c r="M37" s="404" t="s">
        <v>1048</v>
      </c>
      <c r="N37" s="404" t="s">
        <v>1048</v>
      </c>
      <c r="O37" s="404" t="s">
        <v>1048</v>
      </c>
      <c r="P37" s="404" t="s">
        <v>1048</v>
      </c>
      <c r="Q37" s="404" t="s">
        <v>1048</v>
      </c>
      <c r="R37" s="404" t="s">
        <v>1048</v>
      </c>
      <c r="S37" s="404" t="s">
        <v>1048</v>
      </c>
      <c r="T37" s="404" t="s">
        <v>1048</v>
      </c>
      <c r="U37" s="404" t="s">
        <v>1048</v>
      </c>
      <c r="V37" s="404" t="s">
        <v>1048</v>
      </c>
      <c r="W37" s="404" t="s">
        <v>1048</v>
      </c>
      <c r="X37" s="404" t="s">
        <v>1048</v>
      </c>
      <c r="Y37" s="404" t="s">
        <v>1048</v>
      </c>
    </row>
    <row r="38" spans="3:25" x14ac:dyDescent="0.25">
      <c r="C38" s="68" t="str">
        <f>'G-1 All Habitats'!B35</f>
        <v>Heathland and shrub - Dunes with sea buckthorn (H2160)</v>
      </c>
      <c r="D38" s="404" t="s">
        <v>1048</v>
      </c>
      <c r="E38" s="404" t="s">
        <v>1048</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1048</v>
      </c>
    </row>
    <row r="39" spans="3:25" x14ac:dyDescent="0.25">
      <c r="C39" s="68" t="str">
        <f>'G-1 All Habitats'!B36</f>
        <v>Heathland and shrub - Other sea buckthorn scrub</v>
      </c>
      <c r="D39" s="404" t="s">
        <v>1048</v>
      </c>
      <c r="E39" s="404" t="s">
        <v>1048</v>
      </c>
      <c r="F39" s="404" t="s">
        <v>1048</v>
      </c>
      <c r="G39" s="404" t="s">
        <v>1048</v>
      </c>
      <c r="H39" s="404" t="s">
        <v>1048</v>
      </c>
      <c r="I39" s="404" t="s">
        <v>1048</v>
      </c>
      <c r="J39" s="404" t="s">
        <v>1048</v>
      </c>
      <c r="K39" s="404" t="s">
        <v>1048</v>
      </c>
      <c r="L39" s="404" t="s">
        <v>1048</v>
      </c>
      <c r="M39" s="404" t="s">
        <v>1048</v>
      </c>
      <c r="N39" s="404" t="s">
        <v>1048</v>
      </c>
      <c r="O39" s="404" t="s">
        <v>1048</v>
      </c>
      <c r="P39" s="404" t="s">
        <v>1048</v>
      </c>
      <c r="Q39" s="404" t="s">
        <v>1048</v>
      </c>
      <c r="R39" s="404" t="s">
        <v>1048</v>
      </c>
      <c r="S39" s="404" t="s">
        <v>1048</v>
      </c>
      <c r="T39" s="404" t="s">
        <v>1048</v>
      </c>
      <c r="U39" s="404" t="s">
        <v>1048</v>
      </c>
      <c r="V39" s="404" t="s">
        <v>1048</v>
      </c>
      <c r="W39" s="404" t="s">
        <v>1048</v>
      </c>
      <c r="X39" s="404" t="s">
        <v>1048</v>
      </c>
      <c r="Y39" s="404" t="s">
        <v>1048</v>
      </c>
    </row>
    <row r="40" spans="3:25" x14ac:dyDescent="0.25">
      <c r="C40" s="68" t="str">
        <f>'G-1 All Habitats'!B38</f>
        <v>Heathland and shrub - Upland heathland</v>
      </c>
      <c r="D40" s="404" t="s">
        <v>1048</v>
      </c>
      <c r="E40" s="404" t="s">
        <v>1048</v>
      </c>
      <c r="F40" s="404">
        <v>10</v>
      </c>
      <c r="G40" s="404">
        <v>15</v>
      </c>
      <c r="H40" s="404">
        <v>20</v>
      </c>
      <c r="I40" s="404">
        <v>25</v>
      </c>
      <c r="J40" s="404">
        <v>30</v>
      </c>
      <c r="K40" s="404" t="s">
        <v>1048</v>
      </c>
      <c r="L40" s="404" t="s">
        <v>1048</v>
      </c>
      <c r="M40" s="404" t="s">
        <v>1048</v>
      </c>
      <c r="N40" s="404" t="s">
        <v>1048</v>
      </c>
      <c r="O40" s="404">
        <v>10</v>
      </c>
      <c r="P40" s="404">
        <v>20</v>
      </c>
      <c r="Q40" s="404">
        <v>30</v>
      </c>
      <c r="R40" s="404" t="s">
        <v>1049</v>
      </c>
      <c r="S40" s="404">
        <v>10</v>
      </c>
      <c r="T40" s="404">
        <v>20</v>
      </c>
      <c r="U40" s="404">
        <v>30</v>
      </c>
      <c r="V40" s="404">
        <v>10</v>
      </c>
      <c r="W40" s="404">
        <v>20</v>
      </c>
      <c r="X40" s="404">
        <v>10</v>
      </c>
      <c r="Y40" s="404" t="s">
        <v>1048</v>
      </c>
    </row>
    <row r="41" spans="3:25" x14ac:dyDescent="0.25">
      <c r="C41" s="68" t="str">
        <f>'G-1 All Habitats'!B39</f>
        <v>Lakes - Aquifer fed naturally fluctuating water bodies</v>
      </c>
      <c r="D41" s="404" t="s">
        <v>1048</v>
      </c>
      <c r="E41" s="404" t="s">
        <v>1048</v>
      </c>
      <c r="F41" s="404">
        <v>1</v>
      </c>
      <c r="G41" s="404">
        <v>10</v>
      </c>
      <c r="H41" s="404">
        <v>15</v>
      </c>
      <c r="I41" s="404">
        <v>20</v>
      </c>
      <c r="J41" s="404">
        <v>30</v>
      </c>
      <c r="K41" s="404" t="s">
        <v>1048</v>
      </c>
      <c r="L41" s="404" t="s">
        <v>1048</v>
      </c>
      <c r="M41" s="404" t="s">
        <v>1048</v>
      </c>
      <c r="N41" s="404" t="s">
        <v>1048</v>
      </c>
      <c r="O41" s="404">
        <v>5</v>
      </c>
      <c r="P41" s="404">
        <v>10</v>
      </c>
      <c r="Q41" s="404">
        <v>15</v>
      </c>
      <c r="R41" s="404">
        <v>30</v>
      </c>
      <c r="S41" s="404">
        <v>5</v>
      </c>
      <c r="T41" s="404">
        <v>15</v>
      </c>
      <c r="U41" s="404">
        <v>25</v>
      </c>
      <c r="V41" s="404">
        <v>5</v>
      </c>
      <c r="W41" s="404">
        <v>20</v>
      </c>
      <c r="X41" s="404">
        <v>5</v>
      </c>
      <c r="Y41" s="404" t="s">
        <v>1048</v>
      </c>
    </row>
    <row r="42" spans="3:25" x14ac:dyDescent="0.25">
      <c r="C42" s="68" t="str">
        <f>'G-1 All Habitats'!B41</f>
        <v>Lakes - High alkalinity lakes</v>
      </c>
      <c r="D42" s="404" t="s">
        <v>1048</v>
      </c>
      <c r="E42" s="404" t="s">
        <v>1048</v>
      </c>
      <c r="F42" s="404">
        <v>2</v>
      </c>
      <c r="G42" s="404">
        <v>3</v>
      </c>
      <c r="H42" s="404">
        <v>5</v>
      </c>
      <c r="I42" s="404">
        <v>7</v>
      </c>
      <c r="J42" s="404">
        <v>10</v>
      </c>
      <c r="K42" s="404" t="s">
        <v>1048</v>
      </c>
      <c r="L42" s="404" t="s">
        <v>1048</v>
      </c>
      <c r="M42" s="404" t="s">
        <v>1048</v>
      </c>
      <c r="N42" s="404" t="s">
        <v>1048</v>
      </c>
      <c r="O42" s="404">
        <v>5</v>
      </c>
      <c r="P42" s="404">
        <v>10</v>
      </c>
      <c r="Q42" s="404">
        <v>15</v>
      </c>
      <c r="R42" s="404">
        <v>30</v>
      </c>
      <c r="S42" s="404">
        <v>5</v>
      </c>
      <c r="T42" s="404">
        <v>15</v>
      </c>
      <c r="U42" s="404">
        <v>25</v>
      </c>
      <c r="V42" s="404">
        <v>10</v>
      </c>
      <c r="W42" s="404">
        <v>20</v>
      </c>
      <c r="X42" s="404">
        <v>10</v>
      </c>
      <c r="Y42" s="404" t="s">
        <v>1048</v>
      </c>
    </row>
    <row r="43" spans="3:25" x14ac:dyDescent="0.25">
      <c r="C43" s="68" t="str">
        <f>'G-1 All Habitats'!B42</f>
        <v>Lakes - Low alkalinity lakes</v>
      </c>
      <c r="D43" s="404" t="s">
        <v>1048</v>
      </c>
      <c r="E43" s="404" t="s">
        <v>1048</v>
      </c>
      <c r="F43" s="404">
        <v>5</v>
      </c>
      <c r="G43" s="404">
        <v>10</v>
      </c>
      <c r="H43" s="404">
        <v>15</v>
      </c>
      <c r="I43" s="404">
        <v>20</v>
      </c>
      <c r="J43" s="404">
        <v>30</v>
      </c>
      <c r="K43" s="404" t="s">
        <v>1048</v>
      </c>
      <c r="L43" s="404" t="s">
        <v>1048</v>
      </c>
      <c r="M43" s="404" t="s">
        <v>1048</v>
      </c>
      <c r="N43" s="404" t="s">
        <v>1048</v>
      </c>
      <c r="O43" s="404">
        <v>5</v>
      </c>
      <c r="P43" s="404">
        <v>10</v>
      </c>
      <c r="Q43" s="404">
        <v>15</v>
      </c>
      <c r="R43" s="404">
        <v>20</v>
      </c>
      <c r="S43" s="404">
        <v>5</v>
      </c>
      <c r="T43" s="404">
        <v>10</v>
      </c>
      <c r="U43" s="404">
        <v>15</v>
      </c>
      <c r="V43" s="404">
        <v>5</v>
      </c>
      <c r="W43" s="404">
        <v>10</v>
      </c>
      <c r="X43" s="404">
        <v>5</v>
      </c>
      <c r="Y43" s="404" t="s">
        <v>1048</v>
      </c>
    </row>
    <row r="44" spans="3:25" x14ac:dyDescent="0.25">
      <c r="C44" s="68" t="str">
        <f>'G-1 All Habitats'!B43</f>
        <v>Lakes - Marl lakes</v>
      </c>
      <c r="D44" s="404" t="s">
        <v>1048</v>
      </c>
      <c r="E44" s="404" t="s">
        <v>1048</v>
      </c>
      <c r="F44" s="404">
        <v>5</v>
      </c>
      <c r="G44" s="404">
        <v>7</v>
      </c>
      <c r="H44" s="404">
        <v>10</v>
      </c>
      <c r="I44" s="404">
        <v>15</v>
      </c>
      <c r="J44" s="404">
        <v>20</v>
      </c>
      <c r="K44" s="404" t="s">
        <v>1048</v>
      </c>
      <c r="L44" s="404" t="s">
        <v>1048</v>
      </c>
      <c r="M44" s="404" t="s">
        <v>1048</v>
      </c>
      <c r="N44" s="404" t="s">
        <v>1048</v>
      </c>
      <c r="O44" s="404">
        <v>5</v>
      </c>
      <c r="P44" s="404">
        <v>10</v>
      </c>
      <c r="Q44" s="404">
        <v>15</v>
      </c>
      <c r="R44" s="404">
        <v>30</v>
      </c>
      <c r="S44" s="404">
        <v>5</v>
      </c>
      <c r="T44" s="404">
        <v>15</v>
      </c>
      <c r="U44" s="404">
        <v>25</v>
      </c>
      <c r="V44" s="404">
        <v>10</v>
      </c>
      <c r="W44" s="404">
        <v>20</v>
      </c>
      <c r="X44" s="404">
        <v>10</v>
      </c>
      <c r="Y44" s="404" t="s">
        <v>1048</v>
      </c>
    </row>
    <row r="45" spans="3:25" x14ac:dyDescent="0.25">
      <c r="C45" s="68" t="str">
        <f>'G-1 All Habitats'!B44</f>
        <v>Lakes - Moderate alkalinity lakes</v>
      </c>
      <c r="D45" s="404" t="s">
        <v>1048</v>
      </c>
      <c r="E45" s="404" t="s">
        <v>1048</v>
      </c>
      <c r="F45" s="404">
        <v>5</v>
      </c>
      <c r="G45" s="404">
        <v>7</v>
      </c>
      <c r="H45" s="404">
        <v>10</v>
      </c>
      <c r="I45" s="404">
        <v>15</v>
      </c>
      <c r="J45" s="404">
        <v>20</v>
      </c>
      <c r="K45" s="404" t="s">
        <v>1048</v>
      </c>
      <c r="L45" s="404" t="s">
        <v>1048</v>
      </c>
      <c r="M45" s="404" t="s">
        <v>1048</v>
      </c>
      <c r="N45" s="404" t="s">
        <v>1048</v>
      </c>
      <c r="O45" s="404">
        <v>5</v>
      </c>
      <c r="P45" s="404">
        <v>10</v>
      </c>
      <c r="Q45" s="404">
        <v>15</v>
      </c>
      <c r="R45" s="404">
        <v>30</v>
      </c>
      <c r="S45" s="404">
        <v>5</v>
      </c>
      <c r="T45" s="404">
        <v>15</v>
      </c>
      <c r="U45" s="404">
        <v>25</v>
      </c>
      <c r="V45" s="404">
        <v>10</v>
      </c>
      <c r="W45" s="404">
        <v>20</v>
      </c>
      <c r="X45" s="404">
        <v>10</v>
      </c>
      <c r="Y45" s="404" t="s">
        <v>1048</v>
      </c>
    </row>
    <row r="46" spans="3:25" x14ac:dyDescent="0.25">
      <c r="C46" s="68" t="str">
        <f>'G-1 All Habitats'!B45</f>
        <v>Lakes - Peat lakes</v>
      </c>
      <c r="D46" s="404" t="s">
        <v>1048</v>
      </c>
      <c r="E46" s="404" t="s">
        <v>1048</v>
      </c>
      <c r="F46" s="404">
        <v>5</v>
      </c>
      <c r="G46" s="404">
        <v>10</v>
      </c>
      <c r="H46" s="404">
        <v>15</v>
      </c>
      <c r="I46" s="404">
        <v>20</v>
      </c>
      <c r="J46" s="404">
        <v>30</v>
      </c>
      <c r="K46" s="404" t="s">
        <v>1048</v>
      </c>
      <c r="L46" s="404" t="s">
        <v>1048</v>
      </c>
      <c r="M46" s="404" t="s">
        <v>1048</v>
      </c>
      <c r="N46" s="404" t="s">
        <v>1048</v>
      </c>
      <c r="O46" s="404">
        <v>5</v>
      </c>
      <c r="P46" s="404">
        <v>10</v>
      </c>
      <c r="Q46" s="404">
        <v>15</v>
      </c>
      <c r="R46" s="404">
        <v>30</v>
      </c>
      <c r="S46" s="404">
        <v>5</v>
      </c>
      <c r="T46" s="404">
        <v>15</v>
      </c>
      <c r="U46" s="404">
        <v>25</v>
      </c>
      <c r="V46" s="404">
        <v>10</v>
      </c>
      <c r="W46" s="404">
        <v>20</v>
      </c>
      <c r="X46" s="404">
        <v>10</v>
      </c>
      <c r="Y46" s="404" t="s">
        <v>1048</v>
      </c>
    </row>
    <row r="47" spans="3:25" x14ac:dyDescent="0.25">
      <c r="C47" s="68" t="str">
        <f>'G-1 All Habitats'!B46</f>
        <v>Lakes - Ponds (priority habitat)</v>
      </c>
      <c r="D47" s="404" t="s">
        <v>1048</v>
      </c>
      <c r="E47" s="404" t="s">
        <v>1048</v>
      </c>
      <c r="F47" s="404">
        <v>2</v>
      </c>
      <c r="G47" s="404">
        <v>3</v>
      </c>
      <c r="H47" s="404">
        <v>5</v>
      </c>
      <c r="I47" s="404">
        <v>7</v>
      </c>
      <c r="J47" s="404">
        <v>10</v>
      </c>
      <c r="K47" s="404" t="s">
        <v>1048</v>
      </c>
      <c r="L47" s="404" t="s">
        <v>1048</v>
      </c>
      <c r="M47" s="404" t="s">
        <v>1048</v>
      </c>
      <c r="N47" s="404" t="s">
        <v>1048</v>
      </c>
      <c r="O47" s="404">
        <v>2</v>
      </c>
      <c r="P47" s="404">
        <v>4</v>
      </c>
      <c r="Q47" s="404">
        <v>6</v>
      </c>
      <c r="R47" s="404">
        <v>8</v>
      </c>
      <c r="S47" s="404">
        <v>2</v>
      </c>
      <c r="T47" s="404">
        <v>4</v>
      </c>
      <c r="U47" s="404">
        <v>6</v>
      </c>
      <c r="V47" s="404">
        <v>2</v>
      </c>
      <c r="W47" s="404">
        <v>4</v>
      </c>
      <c r="X47" s="404">
        <v>2</v>
      </c>
      <c r="Y47" s="404" t="s">
        <v>1048</v>
      </c>
    </row>
    <row r="48" spans="3:25" x14ac:dyDescent="0.25">
      <c r="C48" s="68" t="str">
        <f>'G-1 All Habitats'!B47</f>
        <v>Lakes - Ponds (non-priority habitat)</v>
      </c>
      <c r="D48" s="404" t="s">
        <v>1048</v>
      </c>
      <c r="E48" s="404" t="s">
        <v>1048</v>
      </c>
      <c r="F48" s="404">
        <v>1</v>
      </c>
      <c r="G48" s="404">
        <v>2</v>
      </c>
      <c r="H48" s="404">
        <v>3</v>
      </c>
      <c r="I48" s="404">
        <v>4</v>
      </c>
      <c r="J48" s="404">
        <v>5</v>
      </c>
      <c r="K48" s="404" t="s">
        <v>1048</v>
      </c>
      <c r="L48" s="404" t="s">
        <v>1048</v>
      </c>
      <c r="M48" s="404" t="s">
        <v>1048</v>
      </c>
      <c r="N48" s="404" t="s">
        <v>1048</v>
      </c>
      <c r="O48" s="404">
        <v>2</v>
      </c>
      <c r="P48" s="404">
        <v>4</v>
      </c>
      <c r="Q48" s="404">
        <v>6</v>
      </c>
      <c r="R48" s="404">
        <v>8</v>
      </c>
      <c r="S48" s="404">
        <v>2</v>
      </c>
      <c r="T48" s="404">
        <v>4</v>
      </c>
      <c r="U48" s="404">
        <v>6</v>
      </c>
      <c r="V48" s="404">
        <v>2</v>
      </c>
      <c r="W48" s="404">
        <v>4</v>
      </c>
      <c r="X48" s="404">
        <v>2</v>
      </c>
      <c r="Y48" s="404" t="s">
        <v>1048</v>
      </c>
    </row>
    <row r="49" spans="3:25" x14ac:dyDescent="0.25">
      <c r="C49" s="68" t="str">
        <f>'G-1 All Habitats'!B48</f>
        <v>Lakes - Reservoirs</v>
      </c>
      <c r="D49" s="404" t="s">
        <v>1048</v>
      </c>
      <c r="E49" s="404" t="s">
        <v>1048</v>
      </c>
      <c r="F49" s="404">
        <v>1</v>
      </c>
      <c r="G49" s="404">
        <v>3</v>
      </c>
      <c r="H49" s="404">
        <v>5</v>
      </c>
      <c r="I49" s="404">
        <v>7</v>
      </c>
      <c r="J49" s="404">
        <v>10</v>
      </c>
      <c r="K49" s="404" t="s">
        <v>1048</v>
      </c>
      <c r="L49" s="404" t="s">
        <v>1048</v>
      </c>
      <c r="M49" s="404" t="s">
        <v>1048</v>
      </c>
      <c r="N49" s="404" t="s">
        <v>1048</v>
      </c>
      <c r="O49" s="404">
        <v>5</v>
      </c>
      <c r="P49" s="404">
        <v>10</v>
      </c>
      <c r="Q49" s="404">
        <v>15</v>
      </c>
      <c r="R49" s="404">
        <v>30</v>
      </c>
      <c r="S49" s="404">
        <v>5</v>
      </c>
      <c r="T49" s="404">
        <v>15</v>
      </c>
      <c r="U49" s="404">
        <v>25</v>
      </c>
      <c r="V49" s="404">
        <v>10</v>
      </c>
      <c r="W49" s="404">
        <v>20</v>
      </c>
      <c r="X49" s="404">
        <v>10</v>
      </c>
      <c r="Y49" s="404" t="s">
        <v>1048</v>
      </c>
    </row>
    <row r="50" spans="3:25" x14ac:dyDescent="0.25">
      <c r="C50" s="68" t="str">
        <f>'G-1 All Habitats'!B49</f>
        <v>Lakes - Temporary lakes ponds and pools (H3170)</v>
      </c>
      <c r="D50" s="404" t="s">
        <v>1048</v>
      </c>
      <c r="E50" s="404" t="s">
        <v>1048</v>
      </c>
      <c r="F50" s="404">
        <v>2</v>
      </c>
      <c r="G50" s="404">
        <v>3</v>
      </c>
      <c r="H50" s="404">
        <v>5</v>
      </c>
      <c r="I50" s="404">
        <v>7</v>
      </c>
      <c r="J50" s="404">
        <v>10</v>
      </c>
      <c r="K50" s="404" t="s">
        <v>1048</v>
      </c>
      <c r="L50" s="404" t="s">
        <v>1048</v>
      </c>
      <c r="M50" s="404" t="s">
        <v>1048</v>
      </c>
      <c r="N50" s="404" t="s">
        <v>1048</v>
      </c>
      <c r="O50" s="404">
        <v>2</v>
      </c>
      <c r="P50" s="404">
        <v>4</v>
      </c>
      <c r="Q50" s="404">
        <v>6</v>
      </c>
      <c r="R50" s="404">
        <v>8</v>
      </c>
      <c r="S50" s="404">
        <v>2</v>
      </c>
      <c r="T50" s="404">
        <v>4</v>
      </c>
      <c r="U50" s="404">
        <v>6</v>
      </c>
      <c r="V50" s="404">
        <v>2</v>
      </c>
      <c r="W50" s="404">
        <v>4</v>
      </c>
      <c r="X50" s="404">
        <v>2</v>
      </c>
      <c r="Y50" s="404" t="s">
        <v>1048</v>
      </c>
    </row>
    <row r="51" spans="3:25" x14ac:dyDescent="0.25">
      <c r="C51" s="68" t="str">
        <f>'G-1 All Habitats'!B50</f>
        <v>Sparsely vegetated land - Calaminarian grasslands</v>
      </c>
      <c r="D51" s="404" t="s">
        <v>1048</v>
      </c>
      <c r="E51" s="404" t="s">
        <v>1048</v>
      </c>
      <c r="F51" s="404">
        <v>2</v>
      </c>
      <c r="G51" s="404">
        <v>3</v>
      </c>
      <c r="H51" s="404">
        <v>5</v>
      </c>
      <c r="I51" s="404">
        <v>7</v>
      </c>
      <c r="J51" s="404">
        <v>10</v>
      </c>
      <c r="K51" s="404" t="s">
        <v>1048</v>
      </c>
      <c r="L51" s="404" t="s">
        <v>1048</v>
      </c>
      <c r="M51" s="404" t="s">
        <v>1048</v>
      </c>
      <c r="N51" s="404" t="s">
        <v>1048</v>
      </c>
      <c r="O51" s="404">
        <v>1</v>
      </c>
      <c r="P51" s="404">
        <v>3</v>
      </c>
      <c r="Q51" s="404">
        <v>5</v>
      </c>
      <c r="R51" s="404">
        <v>8</v>
      </c>
      <c r="S51" s="404">
        <v>1</v>
      </c>
      <c r="T51" s="404">
        <v>4</v>
      </c>
      <c r="U51" s="404">
        <v>7</v>
      </c>
      <c r="V51" s="404">
        <v>2</v>
      </c>
      <c r="W51" s="404">
        <v>5</v>
      </c>
      <c r="X51" s="404">
        <v>3</v>
      </c>
      <c r="Y51" s="404" t="s">
        <v>1048</v>
      </c>
    </row>
    <row r="52" spans="3:25" x14ac:dyDescent="0.25">
      <c r="C52" s="68" t="str">
        <f>'G-1 All Habitats'!B51</f>
        <v>Sparsely vegetated land - Coastal sand dunes</v>
      </c>
      <c r="D52" s="404" t="s">
        <v>1048</v>
      </c>
      <c r="E52" s="404" t="s">
        <v>1048</v>
      </c>
      <c r="F52" s="404">
        <v>5</v>
      </c>
      <c r="G52" s="404">
        <v>7</v>
      </c>
      <c r="H52" s="404">
        <v>10</v>
      </c>
      <c r="I52" s="404">
        <v>15</v>
      </c>
      <c r="J52" s="404">
        <v>20</v>
      </c>
      <c r="K52" s="404" t="s">
        <v>1048</v>
      </c>
      <c r="L52" s="404" t="s">
        <v>1048</v>
      </c>
      <c r="M52" s="404" t="s">
        <v>1048</v>
      </c>
      <c r="N52" s="404" t="s">
        <v>1048</v>
      </c>
      <c r="O52" s="404">
        <v>5</v>
      </c>
      <c r="P52" s="404">
        <v>8</v>
      </c>
      <c r="Q52" s="404">
        <v>15</v>
      </c>
      <c r="R52" s="404">
        <v>20</v>
      </c>
      <c r="S52" s="404">
        <v>5</v>
      </c>
      <c r="T52" s="404">
        <v>10</v>
      </c>
      <c r="U52" s="404">
        <v>18</v>
      </c>
      <c r="V52" s="404">
        <v>7</v>
      </c>
      <c r="W52" s="404">
        <v>12</v>
      </c>
      <c r="X52" s="404">
        <v>8</v>
      </c>
      <c r="Y52" s="404" t="s">
        <v>1048</v>
      </c>
    </row>
    <row r="53" spans="3:25" x14ac:dyDescent="0.25">
      <c r="C53" s="68" t="str">
        <f>'G-1 All Habitats'!B52</f>
        <v>Sparsely vegetated land - Coastal vegetated shingle</v>
      </c>
      <c r="D53" s="404" t="s">
        <v>1048</v>
      </c>
      <c r="E53" s="404" t="s">
        <v>1048</v>
      </c>
      <c r="F53" s="404">
        <v>5</v>
      </c>
      <c r="G53" s="404">
        <v>7</v>
      </c>
      <c r="H53" s="404">
        <v>10</v>
      </c>
      <c r="I53" s="404">
        <v>15</v>
      </c>
      <c r="J53" s="404">
        <v>20</v>
      </c>
      <c r="K53" s="404" t="s">
        <v>1048</v>
      </c>
      <c r="L53" s="404" t="s">
        <v>1048</v>
      </c>
      <c r="M53" s="404" t="s">
        <v>1048</v>
      </c>
      <c r="N53" s="404" t="s">
        <v>1048</v>
      </c>
      <c r="O53" s="404">
        <v>5</v>
      </c>
      <c r="P53" s="404">
        <v>8</v>
      </c>
      <c r="Q53" s="404">
        <v>15</v>
      </c>
      <c r="R53" s="404">
        <v>20</v>
      </c>
      <c r="S53" s="404">
        <v>5</v>
      </c>
      <c r="T53" s="404">
        <v>10</v>
      </c>
      <c r="U53" s="404">
        <v>18</v>
      </c>
      <c r="V53" s="404">
        <v>7</v>
      </c>
      <c r="W53" s="404">
        <v>12</v>
      </c>
      <c r="X53" s="404">
        <v>8</v>
      </c>
      <c r="Y53" s="404" t="s">
        <v>1048</v>
      </c>
    </row>
    <row r="54" spans="3:25" x14ac:dyDescent="0.25">
      <c r="C54" s="68" t="str">
        <f>'G-1 All Habitats'!B53</f>
        <v>Sparsely vegetated land - Ruderal/Ephemeral</v>
      </c>
      <c r="D54" s="404" t="s">
        <v>1048</v>
      </c>
      <c r="E54" s="404" t="s">
        <v>1048</v>
      </c>
      <c r="F54" s="404" t="s">
        <v>1048</v>
      </c>
      <c r="G54" s="404" t="s">
        <v>1048</v>
      </c>
      <c r="H54" s="404" t="s">
        <v>1048</v>
      </c>
      <c r="I54" s="404" t="s">
        <v>1048</v>
      </c>
      <c r="J54" s="404" t="s">
        <v>1048</v>
      </c>
      <c r="K54" s="404" t="s">
        <v>1048</v>
      </c>
      <c r="L54" s="404" t="s">
        <v>1048</v>
      </c>
      <c r="M54" s="404" t="s">
        <v>1048</v>
      </c>
      <c r="N54" s="404" t="s">
        <v>1048</v>
      </c>
      <c r="O54" s="404">
        <v>1</v>
      </c>
      <c r="P54" s="404">
        <v>2</v>
      </c>
      <c r="Q54" s="404">
        <v>3</v>
      </c>
      <c r="R54" s="404">
        <v>5</v>
      </c>
      <c r="S54" s="404">
        <v>1</v>
      </c>
      <c r="T54" s="404">
        <v>2</v>
      </c>
      <c r="U54" s="404">
        <v>3</v>
      </c>
      <c r="V54" s="404">
        <v>1</v>
      </c>
      <c r="W54" s="404">
        <v>2</v>
      </c>
      <c r="X54" s="404">
        <v>1</v>
      </c>
      <c r="Y54" s="404" t="s">
        <v>1048</v>
      </c>
    </row>
    <row r="55" spans="3:25" x14ac:dyDescent="0.25">
      <c r="C55" s="68" t="s">
        <v>664</v>
      </c>
      <c r="D55" s="404" t="s">
        <v>1048</v>
      </c>
      <c r="E55" s="404" t="s">
        <v>1048</v>
      </c>
      <c r="F55" s="404" t="s">
        <v>1048</v>
      </c>
      <c r="G55" s="404" t="s">
        <v>1048</v>
      </c>
      <c r="H55" s="404" t="s">
        <v>1048</v>
      </c>
      <c r="I55" s="404" t="s">
        <v>1048</v>
      </c>
      <c r="J55" s="404" t="s">
        <v>1048</v>
      </c>
      <c r="K55" s="404" t="s">
        <v>1048</v>
      </c>
      <c r="L55" s="404" t="s">
        <v>1048</v>
      </c>
      <c r="M55" s="404" t="s">
        <v>1048</v>
      </c>
      <c r="N55" s="404" t="s">
        <v>1048</v>
      </c>
      <c r="O55" s="404">
        <v>1</v>
      </c>
      <c r="P55" s="404">
        <v>2</v>
      </c>
      <c r="Q55" s="404">
        <v>3</v>
      </c>
      <c r="R55" s="404">
        <v>5</v>
      </c>
      <c r="S55" s="404">
        <v>1</v>
      </c>
      <c r="T55" s="404">
        <v>2</v>
      </c>
      <c r="U55" s="404">
        <v>3</v>
      </c>
      <c r="V55" s="404">
        <v>1</v>
      </c>
      <c r="W55" s="404">
        <v>2</v>
      </c>
      <c r="X55" s="404">
        <v>1</v>
      </c>
      <c r="Y55" s="404" t="s">
        <v>1048</v>
      </c>
    </row>
    <row r="56" spans="3:25" x14ac:dyDescent="0.25">
      <c r="C56" s="68" t="str">
        <f>'G-1 All Habitats'!B55</f>
        <v>Sparsely vegetated land - Inland rock outcrop and scree habitats</v>
      </c>
      <c r="D56" s="404" t="s">
        <v>1048</v>
      </c>
      <c r="E56" s="404" t="s">
        <v>1048</v>
      </c>
      <c r="F56" s="404">
        <v>10</v>
      </c>
      <c r="G56" s="404">
        <v>15</v>
      </c>
      <c r="H56" s="404">
        <v>20</v>
      </c>
      <c r="I56" s="404">
        <v>25</v>
      </c>
      <c r="J56" s="404" t="s">
        <v>1049</v>
      </c>
      <c r="K56" s="404" t="s">
        <v>1048</v>
      </c>
      <c r="L56" s="404" t="s">
        <v>1048</v>
      </c>
      <c r="M56" s="404" t="s">
        <v>1048</v>
      </c>
      <c r="N56" s="404" t="s">
        <v>1048</v>
      </c>
      <c r="O56" s="404">
        <v>10</v>
      </c>
      <c r="P56" s="404">
        <v>15</v>
      </c>
      <c r="Q56" s="404">
        <v>25</v>
      </c>
      <c r="R56" s="404" t="s">
        <v>1049</v>
      </c>
      <c r="S56" s="404">
        <v>20</v>
      </c>
      <c r="T56" s="404">
        <v>25</v>
      </c>
      <c r="U56" s="404">
        <v>27</v>
      </c>
      <c r="V56" s="404">
        <v>15</v>
      </c>
      <c r="W56" s="404">
        <v>20</v>
      </c>
      <c r="X56" s="404">
        <v>15</v>
      </c>
      <c r="Y56" s="404" t="s">
        <v>1048</v>
      </c>
    </row>
    <row r="57" spans="3:25" x14ac:dyDescent="0.25">
      <c r="C57" s="68" t="str">
        <f>'G-1 All Habitats'!B56</f>
        <v>Sparsely vegetated land - Limestone pavement</v>
      </c>
      <c r="D57" s="404" t="s">
        <v>1048</v>
      </c>
      <c r="E57" s="404" t="s">
        <v>1048</v>
      </c>
      <c r="F57" s="404" t="s">
        <v>1049</v>
      </c>
      <c r="G57" s="404" t="s">
        <v>1049</v>
      </c>
      <c r="H57" s="404" t="s">
        <v>1049</v>
      </c>
      <c r="I57" s="404" t="s">
        <v>1049</v>
      </c>
      <c r="J57" s="404" t="s">
        <v>1049</v>
      </c>
      <c r="K57" s="404" t="s">
        <v>1048</v>
      </c>
      <c r="L57" s="404" t="s">
        <v>1048</v>
      </c>
      <c r="M57" s="404" t="s">
        <v>1048</v>
      </c>
      <c r="N57" s="404" t="s">
        <v>1048</v>
      </c>
      <c r="O57" s="404">
        <v>5</v>
      </c>
      <c r="P57" s="404">
        <v>10</v>
      </c>
      <c r="Q57" s="404">
        <v>15</v>
      </c>
      <c r="R57" s="404">
        <v>20</v>
      </c>
      <c r="S57" s="404">
        <v>5</v>
      </c>
      <c r="T57" s="404">
        <v>10</v>
      </c>
      <c r="U57" s="404">
        <v>15</v>
      </c>
      <c r="V57" s="404">
        <v>5</v>
      </c>
      <c r="W57" s="404">
        <v>10</v>
      </c>
      <c r="X57" s="404">
        <v>5</v>
      </c>
      <c r="Y57" s="404" t="s">
        <v>1048</v>
      </c>
    </row>
    <row r="58" spans="3:25" x14ac:dyDescent="0.25">
      <c r="C58" s="68" t="str">
        <f>'G-1 All Habitats'!B57</f>
        <v>Sparsely vegetated land - Maritime cliff and slopes</v>
      </c>
      <c r="D58" s="404" t="s">
        <v>1048</v>
      </c>
      <c r="E58" s="404" t="s">
        <v>1048</v>
      </c>
      <c r="F58" s="404">
        <v>10</v>
      </c>
      <c r="G58" s="404">
        <v>15</v>
      </c>
      <c r="H58" s="404">
        <v>20</v>
      </c>
      <c r="I58" s="404">
        <v>25</v>
      </c>
      <c r="J58" s="404" t="s">
        <v>1049</v>
      </c>
      <c r="K58" s="404" t="s">
        <v>1048</v>
      </c>
      <c r="L58" s="404" t="s">
        <v>1048</v>
      </c>
      <c r="M58" s="404" t="s">
        <v>1048</v>
      </c>
      <c r="N58" s="404" t="s">
        <v>1048</v>
      </c>
      <c r="O58" s="404">
        <v>5</v>
      </c>
      <c r="P58" s="404">
        <v>8</v>
      </c>
      <c r="Q58" s="404">
        <v>15</v>
      </c>
      <c r="R58" s="404">
        <v>20</v>
      </c>
      <c r="S58" s="404">
        <v>5</v>
      </c>
      <c r="T58" s="404">
        <v>10</v>
      </c>
      <c r="U58" s="404">
        <v>18</v>
      </c>
      <c r="V58" s="404">
        <v>7</v>
      </c>
      <c r="W58" s="404">
        <v>12</v>
      </c>
      <c r="X58" s="404">
        <v>8</v>
      </c>
      <c r="Y58" s="404" t="s">
        <v>1048</v>
      </c>
    </row>
    <row r="59" spans="3:25" x14ac:dyDescent="0.25">
      <c r="C59" s="68" t="str">
        <f>'G-1 All Habitats'!B58</f>
        <v>Sparsely vegetated land - Other inland rock and scree</v>
      </c>
      <c r="D59" s="404" t="s">
        <v>1048</v>
      </c>
      <c r="E59" s="404" t="s">
        <v>1048</v>
      </c>
      <c r="F59" s="404">
        <v>3</v>
      </c>
      <c r="G59" s="404">
        <v>5</v>
      </c>
      <c r="H59" s="404">
        <v>10</v>
      </c>
      <c r="I59" s="404">
        <v>15</v>
      </c>
      <c r="J59" s="404">
        <v>20</v>
      </c>
      <c r="K59" s="404" t="s">
        <v>1048</v>
      </c>
      <c r="L59" s="404" t="s">
        <v>1048</v>
      </c>
      <c r="M59" s="404" t="s">
        <v>1048</v>
      </c>
      <c r="N59" s="404" t="s">
        <v>1048</v>
      </c>
      <c r="O59" s="404">
        <v>5</v>
      </c>
      <c r="P59" s="404">
        <v>10</v>
      </c>
      <c r="Q59" s="404">
        <v>15</v>
      </c>
      <c r="R59" s="404">
        <v>20</v>
      </c>
      <c r="S59" s="404">
        <v>5</v>
      </c>
      <c r="T59" s="404">
        <v>10</v>
      </c>
      <c r="U59" s="404">
        <v>15</v>
      </c>
      <c r="V59" s="404">
        <v>5</v>
      </c>
      <c r="W59" s="404">
        <v>10</v>
      </c>
      <c r="X59" s="404">
        <v>5</v>
      </c>
      <c r="Y59" s="404" t="s">
        <v>1048</v>
      </c>
    </row>
    <row r="60" spans="3:25" x14ac:dyDescent="0.25">
      <c r="C60" s="68" t="str">
        <f>'G-1 All Habitats'!B59</f>
        <v>Urban - Allotments</v>
      </c>
      <c r="D60" s="404" t="s">
        <v>1048</v>
      </c>
      <c r="E60" s="404" t="s">
        <v>1048</v>
      </c>
      <c r="F60" s="404">
        <v>1</v>
      </c>
      <c r="G60" s="404">
        <v>1</v>
      </c>
      <c r="H60" s="404">
        <v>1</v>
      </c>
      <c r="I60" s="404">
        <v>1</v>
      </c>
      <c r="J60" s="404">
        <v>1</v>
      </c>
      <c r="K60" s="404" t="s">
        <v>1048</v>
      </c>
      <c r="L60" s="404" t="s">
        <v>1048</v>
      </c>
      <c r="M60" s="404" t="s">
        <v>1048</v>
      </c>
      <c r="N60" s="404" t="s">
        <v>1048</v>
      </c>
      <c r="O60" s="404">
        <v>1</v>
      </c>
      <c r="P60" s="404">
        <v>1</v>
      </c>
      <c r="Q60" s="404">
        <v>1</v>
      </c>
      <c r="R60" s="404">
        <v>1</v>
      </c>
      <c r="S60" s="404">
        <v>1</v>
      </c>
      <c r="T60" s="404">
        <v>1</v>
      </c>
      <c r="U60" s="404">
        <v>1</v>
      </c>
      <c r="V60" s="404">
        <v>1</v>
      </c>
      <c r="W60" s="404">
        <v>1</v>
      </c>
      <c r="X60" s="404">
        <v>1</v>
      </c>
      <c r="Y60" s="404" t="s">
        <v>1048</v>
      </c>
    </row>
    <row r="61" spans="3:25" x14ac:dyDescent="0.25">
      <c r="C61" s="68" t="str">
        <f>'G-1 All Habitats'!B40</f>
        <v>Lakes - Ornamental lake or pond</v>
      </c>
      <c r="D61" s="404" t="s">
        <v>1048</v>
      </c>
      <c r="E61" s="404" t="s">
        <v>1048</v>
      </c>
      <c r="F61" s="404">
        <v>1</v>
      </c>
      <c r="G61" s="404">
        <v>2</v>
      </c>
      <c r="H61" s="404">
        <v>3</v>
      </c>
      <c r="I61" s="404">
        <v>4</v>
      </c>
      <c r="J61" s="404">
        <v>5</v>
      </c>
      <c r="K61" s="404" t="s">
        <v>1048</v>
      </c>
      <c r="L61" s="404" t="s">
        <v>1048</v>
      </c>
      <c r="M61" s="404" t="s">
        <v>1048</v>
      </c>
      <c r="N61" s="404" t="s">
        <v>1048</v>
      </c>
      <c r="O61" s="404">
        <v>2</v>
      </c>
      <c r="P61" s="404">
        <v>4</v>
      </c>
      <c r="Q61" s="404">
        <v>6</v>
      </c>
      <c r="R61" s="404">
        <v>8</v>
      </c>
      <c r="S61" s="404">
        <v>2</v>
      </c>
      <c r="T61" s="404">
        <v>4</v>
      </c>
      <c r="U61" s="404">
        <v>6</v>
      </c>
      <c r="V61" s="404">
        <v>2</v>
      </c>
      <c r="W61" s="404">
        <v>4</v>
      </c>
      <c r="X61" s="404">
        <v>2</v>
      </c>
      <c r="Y61" s="404" t="s">
        <v>1048</v>
      </c>
    </row>
    <row r="62" spans="3:25" x14ac:dyDescent="0.25">
      <c r="C62" s="68" t="str">
        <f>'G-1 All Habitats'!B60</f>
        <v>Urban - Artificial unvegetated, unsealed surface</v>
      </c>
      <c r="D62" s="404" t="s">
        <v>1048</v>
      </c>
      <c r="E62" s="404" t="s">
        <v>1048</v>
      </c>
      <c r="F62" s="404" t="s">
        <v>1048</v>
      </c>
      <c r="G62" s="404" t="s">
        <v>1048</v>
      </c>
      <c r="H62" s="404" t="s">
        <v>1048</v>
      </c>
      <c r="I62" s="404" t="s">
        <v>1048</v>
      </c>
      <c r="J62" s="404" t="s">
        <v>1048</v>
      </c>
      <c r="K62" s="404" t="s">
        <v>1048</v>
      </c>
      <c r="L62" s="404" t="s">
        <v>1048</v>
      </c>
      <c r="M62" s="404" t="s">
        <v>1048</v>
      </c>
      <c r="N62" s="404" t="s">
        <v>1048</v>
      </c>
      <c r="O62" s="404" t="s">
        <v>1048</v>
      </c>
      <c r="P62" s="404" t="s">
        <v>1048</v>
      </c>
      <c r="Q62" s="404" t="s">
        <v>1048</v>
      </c>
      <c r="R62" s="404" t="s">
        <v>1048</v>
      </c>
      <c r="S62" s="404" t="s">
        <v>1048</v>
      </c>
      <c r="T62" s="404" t="s">
        <v>1048</v>
      </c>
      <c r="U62" s="404" t="s">
        <v>1048</v>
      </c>
      <c r="V62" s="404" t="s">
        <v>1048</v>
      </c>
      <c r="W62" s="404" t="s">
        <v>1048</v>
      </c>
      <c r="X62" s="404" t="s">
        <v>1048</v>
      </c>
      <c r="Y62" s="404" t="s">
        <v>1048</v>
      </c>
    </row>
    <row r="63" spans="3:25" x14ac:dyDescent="0.25">
      <c r="C63" s="68" t="str">
        <f>'G-1 All Habitats'!B61</f>
        <v>Urban - Bioswale</v>
      </c>
      <c r="D63" s="404" t="s">
        <v>1048</v>
      </c>
      <c r="E63" s="404" t="s">
        <v>1048</v>
      </c>
      <c r="F63" s="404">
        <v>1</v>
      </c>
      <c r="G63" s="404">
        <v>1</v>
      </c>
      <c r="H63" s="404">
        <v>1</v>
      </c>
      <c r="I63" s="404">
        <v>2</v>
      </c>
      <c r="J63" s="404">
        <v>3</v>
      </c>
      <c r="K63" s="404" t="s">
        <v>1048</v>
      </c>
      <c r="L63" s="404" t="s">
        <v>1048</v>
      </c>
      <c r="M63" s="404" t="s">
        <v>1048</v>
      </c>
      <c r="N63" s="404" t="s">
        <v>1048</v>
      </c>
      <c r="O63" s="404">
        <v>1</v>
      </c>
      <c r="P63" s="404">
        <v>2</v>
      </c>
      <c r="Q63" s="404">
        <v>2</v>
      </c>
      <c r="R63" s="404">
        <v>3</v>
      </c>
      <c r="S63" s="404">
        <v>1</v>
      </c>
      <c r="T63" s="404">
        <v>3</v>
      </c>
      <c r="U63" s="404">
        <v>3</v>
      </c>
      <c r="V63" s="404">
        <v>2</v>
      </c>
      <c r="W63" s="404">
        <v>2</v>
      </c>
      <c r="X63" s="404">
        <v>2</v>
      </c>
      <c r="Y63" s="404" t="s">
        <v>1048</v>
      </c>
    </row>
    <row r="64" spans="3:25" x14ac:dyDescent="0.25">
      <c r="C64" s="68" t="str">
        <f>'G-1 All Habitats'!B62</f>
        <v>Urban - Intensive green roof</v>
      </c>
      <c r="D64" s="404" t="s">
        <v>1048</v>
      </c>
      <c r="E64" s="404" t="s">
        <v>1048</v>
      </c>
      <c r="F64" s="404">
        <v>1</v>
      </c>
      <c r="G64" s="404">
        <v>2</v>
      </c>
      <c r="H64" s="404">
        <v>3</v>
      </c>
      <c r="I64" s="404">
        <v>4</v>
      </c>
      <c r="J64" s="404">
        <v>5</v>
      </c>
      <c r="K64" s="404" t="s">
        <v>1048</v>
      </c>
      <c r="L64" s="404" t="s">
        <v>1048</v>
      </c>
      <c r="M64" s="404" t="s">
        <v>1048</v>
      </c>
      <c r="N64" s="404" t="s">
        <v>1048</v>
      </c>
      <c r="O64" s="404">
        <v>1</v>
      </c>
      <c r="P64" s="404">
        <v>2</v>
      </c>
      <c r="Q64" s="404">
        <v>3</v>
      </c>
      <c r="R64" s="404">
        <v>5</v>
      </c>
      <c r="S64" s="404">
        <v>1</v>
      </c>
      <c r="T64" s="404">
        <v>2</v>
      </c>
      <c r="U64" s="404">
        <v>3</v>
      </c>
      <c r="V64" s="404">
        <v>1</v>
      </c>
      <c r="W64" s="404">
        <v>2</v>
      </c>
      <c r="X64" s="404">
        <v>1</v>
      </c>
      <c r="Y64" s="404" t="s">
        <v>1048</v>
      </c>
    </row>
    <row r="65" spans="3:25" x14ac:dyDescent="0.25">
      <c r="C65" s="68" t="str">
        <f>'G-1 All Habitats'!B63</f>
        <v>Urban - Built linear features</v>
      </c>
      <c r="D65" s="404" t="s">
        <v>1048</v>
      </c>
      <c r="E65" s="404" t="s">
        <v>1048</v>
      </c>
      <c r="F65" s="404" t="s">
        <v>1048</v>
      </c>
      <c r="G65" s="404" t="s">
        <v>1048</v>
      </c>
      <c r="H65" s="404" t="s">
        <v>1048</v>
      </c>
      <c r="I65" s="404" t="s">
        <v>1048</v>
      </c>
      <c r="J65" s="404" t="s">
        <v>1048</v>
      </c>
      <c r="K65" s="404" t="s">
        <v>1048</v>
      </c>
      <c r="L65" s="404" t="s">
        <v>1048</v>
      </c>
      <c r="M65" s="404" t="s">
        <v>1048</v>
      </c>
      <c r="N65" s="404" t="s">
        <v>1048</v>
      </c>
      <c r="O65" s="404" t="s">
        <v>1048</v>
      </c>
      <c r="P65" s="404" t="s">
        <v>1048</v>
      </c>
      <c r="Q65" s="404" t="s">
        <v>1048</v>
      </c>
      <c r="R65" s="404" t="s">
        <v>1048</v>
      </c>
      <c r="S65" s="404" t="s">
        <v>1048</v>
      </c>
      <c r="T65" s="404" t="s">
        <v>1048</v>
      </c>
      <c r="U65" s="404" t="s">
        <v>1048</v>
      </c>
      <c r="V65" s="404" t="s">
        <v>1048</v>
      </c>
      <c r="W65" s="404" t="s">
        <v>1048</v>
      </c>
      <c r="X65" s="404" t="s">
        <v>1048</v>
      </c>
      <c r="Y65" s="404" t="s">
        <v>1048</v>
      </c>
    </row>
    <row r="66" spans="3:25" x14ac:dyDescent="0.25">
      <c r="C66" s="68" t="str">
        <f>'G-1 All Habitats'!B64</f>
        <v>Urban - Cemeteries and churchyards</v>
      </c>
      <c r="D66" s="404" t="s">
        <v>1048</v>
      </c>
      <c r="E66" s="404" t="s">
        <v>1048</v>
      </c>
      <c r="F66" s="404">
        <v>10</v>
      </c>
      <c r="G66" s="404">
        <v>12</v>
      </c>
      <c r="H66" s="404">
        <v>15</v>
      </c>
      <c r="I66" s="404">
        <v>17</v>
      </c>
      <c r="J66" s="404">
        <v>20</v>
      </c>
      <c r="K66" s="404" t="s">
        <v>1048</v>
      </c>
      <c r="L66" s="404" t="s">
        <v>1048</v>
      </c>
      <c r="M66" s="404" t="s">
        <v>1048</v>
      </c>
      <c r="N66" s="404" t="s">
        <v>1048</v>
      </c>
      <c r="O66" s="404">
        <v>5</v>
      </c>
      <c r="P66" s="404">
        <v>10</v>
      </c>
      <c r="Q66" s="404">
        <v>15</v>
      </c>
      <c r="R66" s="404">
        <v>20</v>
      </c>
      <c r="S66" s="404">
        <v>10</v>
      </c>
      <c r="T66" s="404">
        <v>15</v>
      </c>
      <c r="U66" s="404">
        <v>20</v>
      </c>
      <c r="V66" s="404">
        <v>10</v>
      </c>
      <c r="W66" s="404">
        <v>15</v>
      </c>
      <c r="X66" s="404">
        <v>5</v>
      </c>
      <c r="Y66" s="404" t="s">
        <v>1048</v>
      </c>
    </row>
    <row r="67" spans="3:25" x14ac:dyDescent="0.25">
      <c r="C67" s="68" t="str">
        <f>'G-1 All Habitats'!B65</f>
        <v>Urban - Developed land; sealed surface</v>
      </c>
      <c r="D67" s="404" t="s">
        <v>1048</v>
      </c>
      <c r="E67" s="404" t="s">
        <v>1048</v>
      </c>
      <c r="F67" s="404" t="s">
        <v>1048</v>
      </c>
      <c r="G67" s="404" t="s">
        <v>1048</v>
      </c>
      <c r="H67" s="404" t="s">
        <v>1048</v>
      </c>
      <c r="I67" s="404" t="s">
        <v>1048</v>
      </c>
      <c r="J67" s="404" t="s">
        <v>1048</v>
      </c>
      <c r="K67" s="404" t="s">
        <v>1048</v>
      </c>
      <c r="L67" s="404" t="s">
        <v>1048</v>
      </c>
      <c r="M67" s="404" t="s">
        <v>1048</v>
      </c>
      <c r="N67" s="404" t="s">
        <v>1048</v>
      </c>
      <c r="O67" s="404" t="s">
        <v>1048</v>
      </c>
      <c r="P67" s="404" t="s">
        <v>1048</v>
      </c>
      <c r="Q67" s="404" t="s">
        <v>1048</v>
      </c>
      <c r="R67" s="404" t="s">
        <v>1048</v>
      </c>
      <c r="S67" s="404" t="s">
        <v>1048</v>
      </c>
      <c r="T67" s="404" t="s">
        <v>1048</v>
      </c>
      <c r="U67" s="404" t="s">
        <v>1048</v>
      </c>
      <c r="V67" s="404" t="s">
        <v>1048</v>
      </c>
      <c r="W67" s="404" t="s">
        <v>1048</v>
      </c>
      <c r="X67" s="404" t="s">
        <v>1048</v>
      </c>
      <c r="Y67" s="404" t="s">
        <v>1048</v>
      </c>
    </row>
    <row r="68" spans="3:25" x14ac:dyDescent="0.25">
      <c r="C68" s="68" t="str">
        <f>'G-1 All Habitats'!B66</f>
        <v>Urban - Other green roof</v>
      </c>
      <c r="D68" s="404" t="s">
        <v>1048</v>
      </c>
      <c r="E68" s="404" t="s">
        <v>1048</v>
      </c>
      <c r="F68" s="404" t="s">
        <v>1048</v>
      </c>
      <c r="G68" s="404" t="s">
        <v>1048</v>
      </c>
      <c r="H68" s="404" t="s">
        <v>1048</v>
      </c>
      <c r="I68" s="404" t="s">
        <v>1048</v>
      </c>
      <c r="J68" s="404" t="s">
        <v>1048</v>
      </c>
      <c r="K68" s="404" t="s">
        <v>1048</v>
      </c>
      <c r="L68" s="404" t="s">
        <v>1048</v>
      </c>
      <c r="M68" s="404" t="s">
        <v>1048</v>
      </c>
      <c r="N68" s="404" t="s">
        <v>1048</v>
      </c>
      <c r="O68" s="404" t="s">
        <v>1048</v>
      </c>
      <c r="P68" s="404" t="s">
        <v>1048</v>
      </c>
      <c r="Q68" s="404" t="s">
        <v>1048</v>
      </c>
      <c r="R68" s="404" t="s">
        <v>1048</v>
      </c>
      <c r="S68" s="404" t="s">
        <v>1048</v>
      </c>
      <c r="T68" s="404" t="s">
        <v>1048</v>
      </c>
      <c r="U68" s="404" t="s">
        <v>1048</v>
      </c>
      <c r="V68" s="404" t="s">
        <v>1048</v>
      </c>
      <c r="W68" s="404" t="s">
        <v>1048</v>
      </c>
      <c r="X68" s="404" t="s">
        <v>1048</v>
      </c>
      <c r="Y68" s="404" t="s">
        <v>1048</v>
      </c>
    </row>
    <row r="69" spans="3:25" x14ac:dyDescent="0.25">
      <c r="C69" s="68" t="str">
        <f>'G-1 All Habitats'!B67</f>
        <v>Urban - Facade-bound green wall</v>
      </c>
      <c r="D69" s="404" t="s">
        <v>1048</v>
      </c>
      <c r="E69" s="404" t="s">
        <v>1048</v>
      </c>
      <c r="F69" s="404">
        <v>1</v>
      </c>
      <c r="G69" s="404">
        <v>2</v>
      </c>
      <c r="H69" s="404">
        <v>3</v>
      </c>
      <c r="I69" s="404">
        <v>4</v>
      </c>
      <c r="J69" s="404">
        <v>5</v>
      </c>
      <c r="K69" s="404" t="s">
        <v>1048</v>
      </c>
      <c r="L69" s="404" t="s">
        <v>1048</v>
      </c>
      <c r="M69" s="404" t="s">
        <v>1048</v>
      </c>
      <c r="N69" s="404" t="s">
        <v>1048</v>
      </c>
      <c r="O69" s="404">
        <v>1</v>
      </c>
      <c r="P69" s="404">
        <v>2</v>
      </c>
      <c r="Q69" s="404">
        <v>3</v>
      </c>
      <c r="R69" s="404">
        <v>5</v>
      </c>
      <c r="S69" s="404">
        <v>1</v>
      </c>
      <c r="T69" s="404">
        <v>2</v>
      </c>
      <c r="U69" s="404">
        <v>3</v>
      </c>
      <c r="V69" s="404">
        <v>1</v>
      </c>
      <c r="W69" s="404">
        <v>2</v>
      </c>
      <c r="X69" s="404">
        <v>1</v>
      </c>
      <c r="Y69" s="404" t="s">
        <v>1048</v>
      </c>
    </row>
    <row r="70" spans="3:25" x14ac:dyDescent="0.25">
      <c r="C70" s="68" t="str">
        <f>'G-1 All Habitats'!B68</f>
        <v>Urban - Ground based green wall</v>
      </c>
      <c r="D70" s="404" t="s">
        <v>1048</v>
      </c>
      <c r="E70" s="404" t="s">
        <v>1048</v>
      </c>
      <c r="F70" s="404">
        <v>1</v>
      </c>
      <c r="G70" s="404">
        <v>2</v>
      </c>
      <c r="H70" s="404">
        <v>3</v>
      </c>
      <c r="I70" s="404">
        <v>4</v>
      </c>
      <c r="J70" s="404">
        <v>5</v>
      </c>
      <c r="K70" s="404" t="s">
        <v>1048</v>
      </c>
      <c r="L70" s="404" t="s">
        <v>1048</v>
      </c>
      <c r="M70" s="404" t="s">
        <v>1048</v>
      </c>
      <c r="N70" s="404" t="s">
        <v>1048</v>
      </c>
      <c r="O70" s="404">
        <v>1</v>
      </c>
      <c r="P70" s="404">
        <v>2</v>
      </c>
      <c r="Q70" s="404">
        <v>3</v>
      </c>
      <c r="R70" s="404">
        <v>5</v>
      </c>
      <c r="S70" s="404">
        <v>1</v>
      </c>
      <c r="T70" s="404">
        <v>2</v>
      </c>
      <c r="U70" s="404">
        <v>3</v>
      </c>
      <c r="V70" s="404">
        <v>1</v>
      </c>
      <c r="W70" s="404">
        <v>2</v>
      </c>
      <c r="X70" s="404">
        <v>1</v>
      </c>
      <c r="Y70" s="404" t="s">
        <v>1048</v>
      </c>
    </row>
    <row r="71" spans="3:25" x14ac:dyDescent="0.25">
      <c r="C71" s="68" t="str">
        <f>'G-1 All Habitats'!B69</f>
        <v>Urban - Ground level planters</v>
      </c>
      <c r="D71" s="404" t="s">
        <v>1048</v>
      </c>
      <c r="E71" s="404" t="s">
        <v>1048</v>
      </c>
      <c r="F71" s="404" t="s">
        <v>1048</v>
      </c>
      <c r="G71" s="404" t="s">
        <v>1048</v>
      </c>
      <c r="H71" s="404" t="s">
        <v>1048</v>
      </c>
      <c r="I71" s="404" t="s">
        <v>1048</v>
      </c>
      <c r="J71" s="404" t="s">
        <v>1048</v>
      </c>
      <c r="K71" s="404" t="s">
        <v>1048</v>
      </c>
      <c r="L71" s="404" t="s">
        <v>1048</v>
      </c>
      <c r="M71" s="404" t="s">
        <v>1048</v>
      </c>
      <c r="N71" s="404" t="s">
        <v>1048</v>
      </c>
      <c r="O71" s="404" t="s">
        <v>1048</v>
      </c>
      <c r="P71" s="404" t="s">
        <v>1048</v>
      </c>
      <c r="Q71" s="404" t="s">
        <v>1048</v>
      </c>
      <c r="R71" s="404" t="s">
        <v>1048</v>
      </c>
      <c r="S71" s="404" t="s">
        <v>1048</v>
      </c>
      <c r="T71" s="404" t="s">
        <v>1048</v>
      </c>
      <c r="U71" s="404" t="s">
        <v>1048</v>
      </c>
      <c r="V71" s="404" t="s">
        <v>1048</v>
      </c>
      <c r="W71" s="404" t="s">
        <v>1048</v>
      </c>
      <c r="X71" s="404" t="s">
        <v>1048</v>
      </c>
      <c r="Y71" s="404" t="s">
        <v>1048</v>
      </c>
    </row>
    <row r="72" spans="3:25" x14ac:dyDescent="0.25">
      <c r="C72" s="68" t="str">
        <f>'G-1 All Habitats'!B70</f>
        <v>Urban - Biodiverse green roof</v>
      </c>
      <c r="D72" s="404" t="s">
        <v>1048</v>
      </c>
      <c r="E72" s="404" t="s">
        <v>1048</v>
      </c>
      <c r="F72" s="404">
        <v>1</v>
      </c>
      <c r="G72" s="404">
        <v>3</v>
      </c>
      <c r="H72" s="404">
        <v>5</v>
      </c>
      <c r="I72" s="404">
        <v>8</v>
      </c>
      <c r="J72" s="404">
        <v>10</v>
      </c>
      <c r="K72" s="404" t="s">
        <v>1048</v>
      </c>
      <c r="L72" s="404" t="s">
        <v>1048</v>
      </c>
      <c r="M72" s="404" t="s">
        <v>1048</v>
      </c>
      <c r="N72" s="404" t="s">
        <v>1048</v>
      </c>
      <c r="O72" s="404">
        <v>3</v>
      </c>
      <c r="P72" s="404">
        <v>5</v>
      </c>
      <c r="Q72" s="404">
        <v>8</v>
      </c>
      <c r="R72" s="404">
        <v>10</v>
      </c>
      <c r="S72" s="404">
        <v>3</v>
      </c>
      <c r="T72" s="404">
        <v>8</v>
      </c>
      <c r="U72" s="404">
        <v>8</v>
      </c>
      <c r="V72" s="404">
        <v>3</v>
      </c>
      <c r="W72" s="404">
        <v>5</v>
      </c>
      <c r="X72" s="404">
        <v>2</v>
      </c>
      <c r="Y72" s="404" t="s">
        <v>1048</v>
      </c>
    </row>
    <row r="73" spans="3:25" x14ac:dyDescent="0.25">
      <c r="C73" s="68" t="str">
        <f>'G-1 All Habitats'!B71</f>
        <v>Urban - Introduced shrub</v>
      </c>
      <c r="D73" s="404" t="s">
        <v>1048</v>
      </c>
      <c r="E73" s="404" t="s">
        <v>1048</v>
      </c>
      <c r="F73" s="404" t="s">
        <v>1048</v>
      </c>
      <c r="G73" s="404" t="s">
        <v>1048</v>
      </c>
      <c r="H73" s="404" t="s">
        <v>1048</v>
      </c>
      <c r="I73" s="404" t="s">
        <v>1048</v>
      </c>
      <c r="J73" s="404" t="s">
        <v>1048</v>
      </c>
      <c r="K73" s="404" t="s">
        <v>1048</v>
      </c>
      <c r="L73" s="404" t="s">
        <v>1048</v>
      </c>
      <c r="M73" s="404" t="s">
        <v>1048</v>
      </c>
      <c r="N73" s="404" t="s">
        <v>1048</v>
      </c>
      <c r="O73" s="404" t="s">
        <v>1048</v>
      </c>
      <c r="P73" s="404" t="s">
        <v>1048</v>
      </c>
      <c r="Q73" s="404" t="s">
        <v>1048</v>
      </c>
      <c r="R73" s="404" t="s">
        <v>1048</v>
      </c>
      <c r="S73" s="404" t="s">
        <v>1048</v>
      </c>
      <c r="T73" s="404" t="s">
        <v>1048</v>
      </c>
      <c r="U73" s="404" t="s">
        <v>1048</v>
      </c>
      <c r="V73" s="404" t="s">
        <v>1048</v>
      </c>
      <c r="W73" s="404" t="s">
        <v>1048</v>
      </c>
      <c r="X73" s="404" t="s">
        <v>1048</v>
      </c>
      <c r="Y73" s="404" t="s">
        <v>1048</v>
      </c>
    </row>
    <row r="74" spans="3:25" x14ac:dyDescent="0.25">
      <c r="C74" s="68" t="str">
        <f>'G-1 All Habitats'!B72</f>
        <v>Urban - Open mosaic habitats on previously developed land</v>
      </c>
      <c r="D74" s="404" t="s">
        <v>1048</v>
      </c>
      <c r="E74" s="404" t="s">
        <v>1048</v>
      </c>
      <c r="F74" s="404">
        <v>0</v>
      </c>
      <c r="G74" s="404">
        <v>2</v>
      </c>
      <c r="H74" s="404">
        <v>4</v>
      </c>
      <c r="I74" s="404">
        <v>7</v>
      </c>
      <c r="J74" s="404">
        <v>10</v>
      </c>
      <c r="K74" s="404" t="s">
        <v>1048</v>
      </c>
      <c r="L74" s="404" t="s">
        <v>1048</v>
      </c>
      <c r="M74" s="404" t="s">
        <v>1048</v>
      </c>
      <c r="N74" s="404" t="s">
        <v>1048</v>
      </c>
      <c r="O74" s="404">
        <v>2</v>
      </c>
      <c r="P74" s="404">
        <v>4</v>
      </c>
      <c r="Q74" s="404">
        <v>7</v>
      </c>
      <c r="R74" s="404">
        <v>10</v>
      </c>
      <c r="S74" s="404">
        <v>2</v>
      </c>
      <c r="T74" s="404">
        <v>5</v>
      </c>
      <c r="U74" s="404">
        <v>8</v>
      </c>
      <c r="V74" s="404">
        <v>3</v>
      </c>
      <c r="W74" s="404">
        <v>4</v>
      </c>
      <c r="X74" s="404">
        <v>3</v>
      </c>
      <c r="Y74" s="404" t="s">
        <v>1048</v>
      </c>
    </row>
    <row r="75" spans="3:25" x14ac:dyDescent="0.25">
      <c r="C75" s="68" t="str">
        <f>'G-1 All Habitats'!B73</f>
        <v>Urban - Rain garden</v>
      </c>
      <c r="D75" s="404" t="s">
        <v>1048</v>
      </c>
      <c r="E75" s="404" t="s">
        <v>1048</v>
      </c>
      <c r="F75" s="404">
        <v>1</v>
      </c>
      <c r="G75" s="404">
        <v>1</v>
      </c>
      <c r="H75" s="404">
        <v>1</v>
      </c>
      <c r="I75" s="404">
        <v>1</v>
      </c>
      <c r="J75" s="404">
        <v>1</v>
      </c>
      <c r="K75" s="404" t="s">
        <v>1048</v>
      </c>
      <c r="L75" s="404" t="s">
        <v>1048</v>
      </c>
      <c r="M75" s="404" t="s">
        <v>1048</v>
      </c>
      <c r="N75" s="404" t="s">
        <v>1048</v>
      </c>
      <c r="O75" s="404">
        <v>1</v>
      </c>
      <c r="P75" s="404">
        <v>1</v>
      </c>
      <c r="Q75" s="404">
        <v>1</v>
      </c>
      <c r="R75" s="404">
        <v>1</v>
      </c>
      <c r="S75" s="404">
        <v>1</v>
      </c>
      <c r="T75" s="404">
        <v>1</v>
      </c>
      <c r="U75" s="404">
        <v>1</v>
      </c>
      <c r="V75" s="404">
        <v>1</v>
      </c>
      <c r="W75" s="404">
        <v>1</v>
      </c>
      <c r="X75" s="404">
        <v>1</v>
      </c>
      <c r="Y75" s="404" t="s">
        <v>1048</v>
      </c>
    </row>
    <row r="76" spans="3:25" x14ac:dyDescent="0.25">
      <c r="C76" s="68" t="str">
        <f>'G-1 All Habitats'!B74</f>
        <v>Urban - Actively worked sand pit quarry or open cast mine</v>
      </c>
      <c r="D76" s="404" t="s">
        <v>1048</v>
      </c>
      <c r="E76" s="404" t="s">
        <v>1048</v>
      </c>
      <c r="F76" s="404">
        <v>1</v>
      </c>
      <c r="G76" s="404" t="s">
        <v>1048</v>
      </c>
      <c r="H76" s="404" t="s">
        <v>1048</v>
      </c>
      <c r="I76" s="404" t="s">
        <v>1048</v>
      </c>
      <c r="J76" s="404" t="s">
        <v>1048</v>
      </c>
      <c r="K76" s="404" t="s">
        <v>1048</v>
      </c>
      <c r="L76" s="404" t="s">
        <v>1048</v>
      </c>
      <c r="M76" s="404" t="s">
        <v>1048</v>
      </c>
      <c r="N76" s="404" t="s">
        <v>1048</v>
      </c>
      <c r="O76" s="404" t="s">
        <v>1048</v>
      </c>
      <c r="P76" s="404" t="s">
        <v>1048</v>
      </c>
      <c r="Q76" s="404" t="s">
        <v>1048</v>
      </c>
      <c r="R76" s="404" t="s">
        <v>1048</v>
      </c>
      <c r="S76" s="404" t="s">
        <v>1048</v>
      </c>
      <c r="T76" s="404" t="s">
        <v>1048</v>
      </c>
      <c r="U76" s="404" t="s">
        <v>1048</v>
      </c>
      <c r="V76" s="404" t="s">
        <v>1048</v>
      </c>
      <c r="W76" s="404" t="s">
        <v>1048</v>
      </c>
      <c r="X76" s="404" t="s">
        <v>1048</v>
      </c>
      <c r="Y76" s="404" t="s">
        <v>1048</v>
      </c>
    </row>
    <row r="77" spans="3:25" x14ac:dyDescent="0.25">
      <c r="C77" s="68" t="str">
        <f>'G-1 All Habitats'!B80</f>
        <v>Individual trees - Urban tree</v>
      </c>
      <c r="D77" s="404" t="s">
        <v>1048</v>
      </c>
      <c r="E77" s="404" t="s">
        <v>1048</v>
      </c>
      <c r="F77" s="404" t="s">
        <v>1048</v>
      </c>
      <c r="G77" s="404" t="s">
        <v>1048</v>
      </c>
      <c r="H77" s="404" t="s">
        <v>1048</v>
      </c>
      <c r="I77" s="404" t="s">
        <v>1048</v>
      </c>
      <c r="J77" s="404" t="s">
        <v>1048</v>
      </c>
      <c r="K77" s="404" t="s">
        <v>1048</v>
      </c>
      <c r="L77" s="404" t="s">
        <v>1048</v>
      </c>
      <c r="M77" s="404" t="s">
        <v>1048</v>
      </c>
      <c r="N77" s="404" t="s">
        <v>1048</v>
      </c>
      <c r="O77" s="404">
        <v>8</v>
      </c>
      <c r="P77" s="404">
        <v>16</v>
      </c>
      <c r="Q77" s="404">
        <v>24</v>
      </c>
      <c r="R77" s="404" t="s">
        <v>1049</v>
      </c>
      <c r="S77" s="404">
        <v>8</v>
      </c>
      <c r="T77" s="404">
        <v>16</v>
      </c>
      <c r="U77" s="404">
        <v>24</v>
      </c>
      <c r="V77" s="404">
        <v>8</v>
      </c>
      <c r="W77" s="404">
        <v>16</v>
      </c>
      <c r="X77" s="404">
        <v>8</v>
      </c>
      <c r="Y77" s="404" t="s">
        <v>1048</v>
      </c>
    </row>
    <row r="78" spans="3:25" x14ac:dyDescent="0.25">
      <c r="C78" s="68" t="str">
        <f>'G-1 All Habitats'!B75</f>
        <v>Urban - Sustainable drainage system</v>
      </c>
      <c r="D78" s="404" t="s">
        <v>1048</v>
      </c>
      <c r="E78" s="404" t="s">
        <v>1048</v>
      </c>
      <c r="F78" s="404">
        <v>1</v>
      </c>
      <c r="G78" s="404">
        <v>2</v>
      </c>
      <c r="H78" s="404">
        <v>3</v>
      </c>
      <c r="I78" s="404">
        <v>4</v>
      </c>
      <c r="J78" s="404">
        <v>5</v>
      </c>
      <c r="K78" s="404" t="s">
        <v>1048</v>
      </c>
      <c r="L78" s="404" t="s">
        <v>1048</v>
      </c>
      <c r="M78" s="404" t="s">
        <v>1048</v>
      </c>
      <c r="N78" s="404" t="s">
        <v>1048</v>
      </c>
      <c r="O78" s="404">
        <v>1</v>
      </c>
      <c r="P78" s="404">
        <v>2</v>
      </c>
      <c r="Q78" s="404">
        <v>3</v>
      </c>
      <c r="R78" s="404">
        <v>5</v>
      </c>
      <c r="S78" s="404">
        <v>1</v>
      </c>
      <c r="T78" s="404">
        <v>2</v>
      </c>
      <c r="U78" s="404">
        <v>3</v>
      </c>
      <c r="V78" s="404">
        <v>1</v>
      </c>
      <c r="W78" s="404">
        <v>2</v>
      </c>
      <c r="X78" s="404">
        <v>1</v>
      </c>
      <c r="Y78" s="404" t="s">
        <v>1048</v>
      </c>
    </row>
    <row r="79" spans="3:25" x14ac:dyDescent="0.25">
      <c r="C79" s="68" t="str">
        <f>'G-1 All Habitats'!B76</f>
        <v>Urban - Unvegetated garden</v>
      </c>
      <c r="D79" s="404" t="s">
        <v>1048</v>
      </c>
      <c r="E79" s="404" t="s">
        <v>1048</v>
      </c>
      <c r="F79" s="404" t="s">
        <v>1048</v>
      </c>
      <c r="G79" s="404" t="s">
        <v>1048</v>
      </c>
      <c r="H79" s="404" t="s">
        <v>1048</v>
      </c>
      <c r="I79" s="404" t="s">
        <v>1048</v>
      </c>
      <c r="J79" s="404" t="s">
        <v>1048</v>
      </c>
      <c r="K79" s="404" t="s">
        <v>1048</v>
      </c>
      <c r="L79" s="404" t="s">
        <v>1048</v>
      </c>
      <c r="M79" s="404" t="s">
        <v>1048</v>
      </c>
      <c r="N79" s="404" t="s">
        <v>1048</v>
      </c>
      <c r="O79" s="404" t="s">
        <v>1048</v>
      </c>
      <c r="P79" s="404" t="s">
        <v>1048</v>
      </c>
      <c r="Q79" s="404" t="s">
        <v>1048</v>
      </c>
      <c r="R79" s="404" t="s">
        <v>1048</v>
      </c>
      <c r="S79" s="404" t="s">
        <v>1048</v>
      </c>
      <c r="T79" s="404" t="s">
        <v>1048</v>
      </c>
      <c r="U79" s="404" t="s">
        <v>1048</v>
      </c>
      <c r="V79" s="404" t="s">
        <v>1048</v>
      </c>
      <c r="W79" s="404" t="s">
        <v>1048</v>
      </c>
      <c r="X79" s="404" t="s">
        <v>1048</v>
      </c>
      <c r="Y79" s="404" t="s">
        <v>1048</v>
      </c>
    </row>
    <row r="80" spans="3:25" x14ac:dyDescent="0.25">
      <c r="C80" s="68" t="str">
        <f>'G-1 All Habitats'!B77</f>
        <v>Urban - Vacant or derelict land</v>
      </c>
      <c r="D80" s="404" t="s">
        <v>1048</v>
      </c>
      <c r="E80" s="404" t="s">
        <v>1048</v>
      </c>
      <c r="F80" s="404">
        <v>1</v>
      </c>
      <c r="G80" s="404">
        <v>1</v>
      </c>
      <c r="H80" s="404">
        <v>1</v>
      </c>
      <c r="I80" s="404">
        <v>1</v>
      </c>
      <c r="J80" s="404">
        <v>1</v>
      </c>
      <c r="K80" s="404" t="s">
        <v>1048</v>
      </c>
      <c r="L80" s="404" t="s">
        <v>1048</v>
      </c>
      <c r="M80" s="404" t="s">
        <v>1048</v>
      </c>
      <c r="N80" s="404" t="s">
        <v>1048</v>
      </c>
      <c r="O80" s="404">
        <v>1</v>
      </c>
      <c r="P80" s="404">
        <v>1</v>
      </c>
      <c r="Q80" s="404">
        <v>1</v>
      </c>
      <c r="R80" s="404">
        <v>1</v>
      </c>
      <c r="S80" s="404">
        <v>1</v>
      </c>
      <c r="T80" s="404">
        <v>1</v>
      </c>
      <c r="U80" s="404">
        <v>1</v>
      </c>
      <c r="V80" s="404">
        <v>1</v>
      </c>
      <c r="W80" s="404">
        <v>1</v>
      </c>
      <c r="X80" s="404">
        <v>1</v>
      </c>
      <c r="Y80" s="404" t="s">
        <v>1048</v>
      </c>
    </row>
    <row r="81" spans="3:25" x14ac:dyDescent="0.25">
      <c r="C81" s="68" t="s">
        <v>735</v>
      </c>
      <c r="D81" s="404" t="s">
        <v>1048</v>
      </c>
      <c r="E81" s="404" t="s">
        <v>1048</v>
      </c>
      <c r="F81" s="404">
        <v>1</v>
      </c>
      <c r="G81" s="404">
        <v>1</v>
      </c>
      <c r="H81" s="404">
        <v>1</v>
      </c>
      <c r="I81" s="404">
        <v>1</v>
      </c>
      <c r="J81" s="404">
        <v>1</v>
      </c>
      <c r="K81" s="404" t="s">
        <v>1048</v>
      </c>
      <c r="L81" s="404" t="s">
        <v>1048</v>
      </c>
      <c r="M81" s="404" t="s">
        <v>1048</v>
      </c>
      <c r="N81" s="404" t="s">
        <v>1048</v>
      </c>
      <c r="O81" s="404">
        <v>1</v>
      </c>
      <c r="P81" s="404">
        <v>1</v>
      </c>
      <c r="Q81" s="404">
        <v>1</v>
      </c>
      <c r="R81" s="404">
        <v>1</v>
      </c>
      <c r="S81" s="404">
        <v>1</v>
      </c>
      <c r="T81" s="404">
        <v>1</v>
      </c>
      <c r="U81" s="404">
        <v>1</v>
      </c>
      <c r="V81" s="404">
        <v>1</v>
      </c>
      <c r="W81" s="404">
        <v>1</v>
      </c>
      <c r="X81" s="404">
        <v>1</v>
      </c>
      <c r="Y81" s="404" t="s">
        <v>1048</v>
      </c>
    </row>
    <row r="82" spans="3:25" x14ac:dyDescent="0.25">
      <c r="C82" s="68" t="str">
        <f>'G-1 All Habitats'!B79</f>
        <v>Urban - Vegetated garden</v>
      </c>
      <c r="D82" s="404" t="s">
        <v>1048</v>
      </c>
      <c r="E82" s="404" t="s">
        <v>1048</v>
      </c>
      <c r="F82" s="404">
        <v>1</v>
      </c>
      <c r="G82" s="404">
        <v>2</v>
      </c>
      <c r="H82" s="404">
        <v>3</v>
      </c>
      <c r="I82" s="404">
        <v>4</v>
      </c>
      <c r="J82" s="404">
        <v>5</v>
      </c>
      <c r="K82" s="404" t="s">
        <v>1048</v>
      </c>
      <c r="L82" s="404" t="s">
        <v>1048</v>
      </c>
      <c r="M82" s="404" t="s">
        <v>1048</v>
      </c>
      <c r="N82" s="404" t="s">
        <v>1048</v>
      </c>
      <c r="O82" s="404">
        <v>1</v>
      </c>
      <c r="P82" s="404">
        <v>2</v>
      </c>
      <c r="Q82" s="404">
        <v>3</v>
      </c>
      <c r="R82" s="404">
        <v>5</v>
      </c>
      <c r="S82" s="404">
        <v>1</v>
      </c>
      <c r="T82" s="404">
        <v>2</v>
      </c>
      <c r="U82" s="404">
        <v>3</v>
      </c>
      <c r="V82" s="404">
        <v>1</v>
      </c>
      <c r="W82" s="404">
        <v>2</v>
      </c>
      <c r="X82" s="404">
        <v>1</v>
      </c>
      <c r="Y82" s="404" t="s">
        <v>1048</v>
      </c>
    </row>
    <row r="83" spans="3:25" x14ac:dyDescent="0.25">
      <c r="C83" s="68" t="str">
        <f>'G-1 All Habitats'!B82</f>
        <v>Wetland - Blanket bog</v>
      </c>
      <c r="D83" s="404" t="s">
        <v>1048</v>
      </c>
      <c r="E83" s="404" t="s">
        <v>1048</v>
      </c>
      <c r="F83" s="404">
        <v>15</v>
      </c>
      <c r="G83" s="404">
        <v>25</v>
      </c>
      <c r="H83" s="404">
        <v>30</v>
      </c>
      <c r="I83" s="404" t="s">
        <v>1049</v>
      </c>
      <c r="J83" s="404" t="s">
        <v>1049</v>
      </c>
      <c r="K83" s="404" t="s">
        <v>1048</v>
      </c>
      <c r="L83" s="404" t="s">
        <v>1048</v>
      </c>
      <c r="M83" s="404" t="s">
        <v>1048</v>
      </c>
      <c r="N83" s="404" t="s">
        <v>1048</v>
      </c>
      <c r="O83" s="404">
        <v>10</v>
      </c>
      <c r="P83" s="404">
        <v>20</v>
      </c>
      <c r="Q83" s="404" t="s">
        <v>1049</v>
      </c>
      <c r="R83" s="404">
        <v>30</v>
      </c>
      <c r="S83" s="404">
        <v>10</v>
      </c>
      <c r="T83" s="404" t="s">
        <v>1049</v>
      </c>
      <c r="U83" s="404" t="s">
        <v>1049</v>
      </c>
      <c r="V83" s="404">
        <v>30</v>
      </c>
      <c r="W83" s="404" t="s">
        <v>1049</v>
      </c>
      <c r="X83" s="404">
        <v>30</v>
      </c>
      <c r="Y83" s="404" t="s">
        <v>1048</v>
      </c>
    </row>
    <row r="84" spans="3:25" x14ac:dyDescent="0.25">
      <c r="C84" s="68" t="str">
        <f>'G-1 All Habitats'!B83</f>
        <v>Wetland - Depressions on peat substrates (H7150)</v>
      </c>
      <c r="D84" s="404" t="s">
        <v>1048</v>
      </c>
      <c r="E84" s="404" t="s">
        <v>1048</v>
      </c>
      <c r="F84" s="404">
        <v>15</v>
      </c>
      <c r="G84" s="404">
        <v>25</v>
      </c>
      <c r="H84" s="404">
        <v>30</v>
      </c>
      <c r="I84" s="404" t="s">
        <v>1049</v>
      </c>
      <c r="J84" s="404" t="s">
        <v>1049</v>
      </c>
      <c r="K84" s="404" t="s">
        <v>1048</v>
      </c>
      <c r="L84" s="404" t="s">
        <v>1048</v>
      </c>
      <c r="M84" s="404" t="s">
        <v>1048</v>
      </c>
      <c r="N84" s="404" t="s">
        <v>1048</v>
      </c>
      <c r="O84" s="404">
        <v>10</v>
      </c>
      <c r="P84" s="404">
        <v>20</v>
      </c>
      <c r="Q84" s="404">
        <v>25</v>
      </c>
      <c r="R84" s="404">
        <v>30</v>
      </c>
      <c r="S84" s="404">
        <v>10</v>
      </c>
      <c r="T84" s="404">
        <v>20</v>
      </c>
      <c r="U84" s="404">
        <v>25</v>
      </c>
      <c r="V84" s="404">
        <v>10</v>
      </c>
      <c r="W84" s="404">
        <v>20</v>
      </c>
      <c r="X84" s="404">
        <v>10</v>
      </c>
      <c r="Y84" s="404" t="s">
        <v>1048</v>
      </c>
    </row>
    <row r="85" spans="3:25" x14ac:dyDescent="0.25">
      <c r="C85" s="68" t="str">
        <f>'G-1 All Habitats'!B84</f>
        <v>Wetland - Fens (upland and lowland)</v>
      </c>
      <c r="D85" s="404" t="s">
        <v>1048</v>
      </c>
      <c r="E85" s="404" t="s">
        <v>1048</v>
      </c>
      <c r="F85" s="404">
        <v>10</v>
      </c>
      <c r="G85" s="404">
        <v>12</v>
      </c>
      <c r="H85" s="404">
        <v>15</v>
      </c>
      <c r="I85" s="404">
        <v>25</v>
      </c>
      <c r="J85" s="404">
        <v>30</v>
      </c>
      <c r="K85" s="404" t="s">
        <v>1048</v>
      </c>
      <c r="L85" s="404" t="s">
        <v>1048</v>
      </c>
      <c r="M85" s="404" t="s">
        <v>1048</v>
      </c>
      <c r="N85" s="404" t="s">
        <v>1048</v>
      </c>
      <c r="O85" s="404">
        <v>10</v>
      </c>
      <c r="P85" s="404">
        <v>12</v>
      </c>
      <c r="Q85" s="404">
        <v>15</v>
      </c>
      <c r="R85" s="404">
        <v>18</v>
      </c>
      <c r="S85" s="404">
        <v>10</v>
      </c>
      <c r="T85" s="404">
        <v>12</v>
      </c>
      <c r="U85" s="404">
        <v>15</v>
      </c>
      <c r="V85" s="404">
        <v>10</v>
      </c>
      <c r="W85" s="404">
        <v>12</v>
      </c>
      <c r="X85" s="404">
        <v>10</v>
      </c>
      <c r="Y85" s="404" t="s">
        <v>1048</v>
      </c>
    </row>
    <row r="86" spans="3:25" x14ac:dyDescent="0.25">
      <c r="C86" s="68" t="str">
        <f>'G-1 All Habitats'!B85</f>
        <v>Wetland - Lowland raised bog</v>
      </c>
      <c r="D86" s="404" t="s">
        <v>1048</v>
      </c>
      <c r="E86" s="404" t="s">
        <v>1048</v>
      </c>
      <c r="F86" s="404">
        <v>15</v>
      </c>
      <c r="G86" s="404">
        <v>20</v>
      </c>
      <c r="H86" s="404">
        <v>30</v>
      </c>
      <c r="I86" s="404" t="s">
        <v>1049</v>
      </c>
      <c r="J86" s="404" t="s">
        <v>1049</v>
      </c>
      <c r="K86" s="404" t="s">
        <v>1048</v>
      </c>
      <c r="L86" s="404" t="s">
        <v>1048</v>
      </c>
      <c r="M86" s="404" t="s">
        <v>1048</v>
      </c>
      <c r="N86" s="404" t="s">
        <v>1048</v>
      </c>
      <c r="O86" s="404">
        <v>10</v>
      </c>
      <c r="P86" s="404">
        <v>20</v>
      </c>
      <c r="Q86" s="404">
        <v>25</v>
      </c>
      <c r="R86" s="404">
        <v>30</v>
      </c>
      <c r="S86" s="404">
        <v>10</v>
      </c>
      <c r="T86" s="404">
        <v>20</v>
      </c>
      <c r="U86" s="404">
        <v>20</v>
      </c>
      <c r="V86" s="404">
        <v>10</v>
      </c>
      <c r="W86" s="404">
        <v>15</v>
      </c>
      <c r="X86" s="404">
        <v>10</v>
      </c>
      <c r="Y86" s="404" t="s">
        <v>1048</v>
      </c>
    </row>
    <row r="87" spans="3:25" x14ac:dyDescent="0.25">
      <c r="C87" s="68" t="str">
        <f>'G-1 All Habitats'!B86</f>
        <v>Wetland - Oceanic valley mire[1] (D2.1)</v>
      </c>
      <c r="D87" s="404" t="s">
        <v>1048</v>
      </c>
      <c r="E87" s="404" t="s">
        <v>1048</v>
      </c>
      <c r="F87" s="404">
        <v>15</v>
      </c>
      <c r="G87" s="404">
        <v>20</v>
      </c>
      <c r="H87" s="404">
        <v>30</v>
      </c>
      <c r="I87" s="404" t="s">
        <v>1049</v>
      </c>
      <c r="J87" s="404" t="s">
        <v>1049</v>
      </c>
      <c r="K87" s="404" t="s">
        <v>1048</v>
      </c>
      <c r="L87" s="404" t="s">
        <v>1048</v>
      </c>
      <c r="M87" s="404" t="s">
        <v>1048</v>
      </c>
      <c r="N87" s="404" t="s">
        <v>1048</v>
      </c>
      <c r="O87" s="404">
        <v>10</v>
      </c>
      <c r="P87" s="404">
        <v>20</v>
      </c>
      <c r="Q87" s="404">
        <v>25</v>
      </c>
      <c r="R87" s="404">
        <v>30</v>
      </c>
      <c r="S87" s="404">
        <v>10</v>
      </c>
      <c r="T87" s="404">
        <v>20</v>
      </c>
      <c r="U87" s="404">
        <v>20</v>
      </c>
      <c r="V87" s="404">
        <v>10</v>
      </c>
      <c r="W87" s="404">
        <v>15</v>
      </c>
      <c r="X87" s="404">
        <v>10</v>
      </c>
      <c r="Y87" s="404" t="s">
        <v>1048</v>
      </c>
    </row>
    <row r="88" spans="3:25" x14ac:dyDescent="0.25">
      <c r="C88" s="68" t="str">
        <f>'G-1 All Habitats'!B87</f>
        <v>Wetland - Purple moor grass and rush pastures</v>
      </c>
      <c r="D88" s="404" t="s">
        <v>1048</v>
      </c>
      <c r="E88" s="404" t="s">
        <v>1048</v>
      </c>
      <c r="F88" s="404">
        <v>10</v>
      </c>
      <c r="G88" s="404">
        <v>12</v>
      </c>
      <c r="H88" s="404">
        <v>15</v>
      </c>
      <c r="I88" s="404">
        <v>17</v>
      </c>
      <c r="J88" s="404">
        <v>20</v>
      </c>
      <c r="K88" s="404" t="s">
        <v>1048</v>
      </c>
      <c r="L88" s="404" t="s">
        <v>1048</v>
      </c>
      <c r="M88" s="404" t="s">
        <v>1048</v>
      </c>
      <c r="N88" s="404" t="s">
        <v>1048</v>
      </c>
      <c r="O88" s="404">
        <v>10</v>
      </c>
      <c r="P88" s="404">
        <v>10</v>
      </c>
      <c r="Q88" s="404">
        <v>15</v>
      </c>
      <c r="R88" s="404">
        <v>20</v>
      </c>
      <c r="S88" s="404">
        <v>10</v>
      </c>
      <c r="T88" s="404">
        <v>15</v>
      </c>
      <c r="U88" s="404">
        <v>20</v>
      </c>
      <c r="V88" s="404">
        <v>10</v>
      </c>
      <c r="W88" s="404">
        <v>15</v>
      </c>
      <c r="X88" s="404">
        <v>10</v>
      </c>
      <c r="Y88" s="404" t="s">
        <v>1048</v>
      </c>
    </row>
    <row r="89" spans="3:25" x14ac:dyDescent="0.25">
      <c r="C89" s="68" t="str">
        <f>'G-1 All Habitats'!B88</f>
        <v>Wetland - Reedbeds</v>
      </c>
      <c r="D89" s="404" t="s">
        <v>1048</v>
      </c>
      <c r="E89" s="404" t="s">
        <v>1048</v>
      </c>
      <c r="F89" s="404">
        <v>5</v>
      </c>
      <c r="G89" s="404">
        <v>7</v>
      </c>
      <c r="H89" s="404">
        <v>10</v>
      </c>
      <c r="I89" s="404">
        <v>12</v>
      </c>
      <c r="J89" s="404">
        <v>15</v>
      </c>
      <c r="K89" s="404" t="s">
        <v>1048</v>
      </c>
      <c r="L89" s="404" t="s">
        <v>1048</v>
      </c>
      <c r="M89" s="404" t="s">
        <v>1048</v>
      </c>
      <c r="N89" s="404" t="s">
        <v>1048</v>
      </c>
      <c r="O89" s="404">
        <v>5</v>
      </c>
      <c r="P89" s="404">
        <v>7</v>
      </c>
      <c r="Q89" s="404">
        <v>10</v>
      </c>
      <c r="R89" s="404">
        <v>12</v>
      </c>
      <c r="S89" s="404">
        <v>5</v>
      </c>
      <c r="T89" s="404">
        <v>7</v>
      </c>
      <c r="U89" s="404">
        <v>10</v>
      </c>
      <c r="V89" s="404">
        <v>5</v>
      </c>
      <c r="W89" s="404">
        <v>7</v>
      </c>
      <c r="X89" s="404">
        <v>5</v>
      </c>
      <c r="Y89" s="404" t="s">
        <v>1048</v>
      </c>
    </row>
    <row r="90" spans="3:25" x14ac:dyDescent="0.25">
      <c r="C90" s="68" t="str">
        <f>'G-1 All Habitats'!B89</f>
        <v>Wetland - Transition mires and quaking bogs (H7140)</v>
      </c>
      <c r="D90" s="404" t="s">
        <v>1048</v>
      </c>
      <c r="E90" s="404" t="s">
        <v>1048</v>
      </c>
      <c r="F90" s="404">
        <v>15</v>
      </c>
      <c r="G90" s="404">
        <v>25</v>
      </c>
      <c r="H90" s="404">
        <v>30</v>
      </c>
      <c r="I90" s="404" t="s">
        <v>1049</v>
      </c>
      <c r="J90" s="404" t="s">
        <v>1049</v>
      </c>
      <c r="K90" s="404" t="s">
        <v>1048</v>
      </c>
      <c r="L90" s="404" t="s">
        <v>1048</v>
      </c>
      <c r="M90" s="404" t="s">
        <v>1048</v>
      </c>
      <c r="N90" s="404" t="s">
        <v>1048</v>
      </c>
      <c r="O90" s="404">
        <v>10</v>
      </c>
      <c r="P90" s="404">
        <v>20</v>
      </c>
      <c r="Q90" s="404">
        <v>25</v>
      </c>
      <c r="R90" s="404">
        <v>30</v>
      </c>
      <c r="S90" s="404">
        <v>10</v>
      </c>
      <c r="T90" s="404">
        <v>20</v>
      </c>
      <c r="U90" s="404">
        <v>20</v>
      </c>
      <c r="V90" s="404">
        <v>10</v>
      </c>
      <c r="W90" s="404">
        <v>15</v>
      </c>
      <c r="X90" s="404">
        <v>10</v>
      </c>
      <c r="Y90" s="404" t="s">
        <v>1048</v>
      </c>
    </row>
    <row r="91" spans="3:25" x14ac:dyDescent="0.25">
      <c r="C91" s="68" t="str">
        <f>'G-1 All Habitats'!B90</f>
        <v>Woodland and forest - Felled</v>
      </c>
      <c r="D91" s="404" t="s">
        <v>1048</v>
      </c>
      <c r="E91" s="404" t="s">
        <v>1048</v>
      </c>
      <c r="F91" s="404" t="s">
        <v>1048</v>
      </c>
      <c r="G91" s="404" t="s">
        <v>1048</v>
      </c>
      <c r="H91" s="404" t="s">
        <v>1048</v>
      </c>
      <c r="I91" s="404" t="s">
        <v>1048</v>
      </c>
      <c r="J91" s="404" t="s">
        <v>1048</v>
      </c>
      <c r="K91" s="404" t="s">
        <v>1048</v>
      </c>
      <c r="L91" s="404" t="s">
        <v>1048</v>
      </c>
      <c r="M91" s="404" t="s">
        <v>1048</v>
      </c>
      <c r="N91" s="404" t="s">
        <v>1048</v>
      </c>
      <c r="O91" s="404" t="s">
        <v>1048</v>
      </c>
      <c r="P91" s="404" t="s">
        <v>1048</v>
      </c>
      <c r="Q91" s="404" t="s">
        <v>1048</v>
      </c>
      <c r="R91" s="404" t="s">
        <v>1048</v>
      </c>
      <c r="S91" s="404" t="s">
        <v>1048</v>
      </c>
      <c r="T91" s="404" t="s">
        <v>1048</v>
      </c>
      <c r="U91" s="404" t="s">
        <v>1048</v>
      </c>
      <c r="V91" s="404" t="s">
        <v>1048</v>
      </c>
      <c r="W91" s="404" t="s">
        <v>1048</v>
      </c>
      <c r="X91" s="404" t="s">
        <v>1048</v>
      </c>
      <c r="Y91" s="404" t="s">
        <v>1048</v>
      </c>
    </row>
    <row r="92" spans="3:25" x14ac:dyDescent="0.25">
      <c r="C92" s="68" t="str">
        <f>'G-1 All Habitats'!B91</f>
        <v>Woodland and forest - Lowland beech and yew woodland</v>
      </c>
      <c r="D92" s="404" t="s">
        <v>1048</v>
      </c>
      <c r="E92" s="404" t="s">
        <v>1048</v>
      </c>
      <c r="F92" s="404">
        <v>10</v>
      </c>
      <c r="G92" s="404">
        <v>25</v>
      </c>
      <c r="H92" s="404" t="s">
        <v>1049</v>
      </c>
      <c r="I92" s="404" t="s">
        <v>1049</v>
      </c>
      <c r="J92" s="404" t="s">
        <v>1049</v>
      </c>
      <c r="K92" s="404" t="s">
        <v>1048</v>
      </c>
      <c r="L92" s="404" t="s">
        <v>1048</v>
      </c>
      <c r="M92" s="404" t="s">
        <v>1048</v>
      </c>
      <c r="N92" s="404" t="s">
        <v>1048</v>
      </c>
      <c r="O92" s="404">
        <v>25</v>
      </c>
      <c r="P92" s="404" t="s">
        <v>1049</v>
      </c>
      <c r="Q92" s="404" t="s">
        <v>1049</v>
      </c>
      <c r="R92" s="404" t="s">
        <v>1049</v>
      </c>
      <c r="S92" s="404" t="s">
        <v>1049</v>
      </c>
      <c r="T92" s="404" t="s">
        <v>1049</v>
      </c>
      <c r="U92" s="404" t="s">
        <v>1049</v>
      </c>
      <c r="V92" s="404" t="s">
        <v>1049</v>
      </c>
      <c r="W92" s="404" t="s">
        <v>1049</v>
      </c>
      <c r="X92" s="404" t="s">
        <v>1049</v>
      </c>
      <c r="Y92" s="404" t="s">
        <v>1048</v>
      </c>
    </row>
    <row r="93" spans="3:25" x14ac:dyDescent="0.25">
      <c r="C93" s="68" t="str">
        <f>'G-1 All Habitats'!B92</f>
        <v>Woodland and forest - Lowland mixed deciduous woodland</v>
      </c>
      <c r="D93" s="404" t="s">
        <v>1048</v>
      </c>
      <c r="E93" s="404" t="s">
        <v>1048</v>
      </c>
      <c r="F93" s="404">
        <v>10</v>
      </c>
      <c r="G93" s="404">
        <v>25</v>
      </c>
      <c r="H93" s="404" t="s">
        <v>1049</v>
      </c>
      <c r="I93" s="404" t="s">
        <v>1049</v>
      </c>
      <c r="J93" s="404" t="s">
        <v>1049</v>
      </c>
      <c r="K93" s="404" t="s">
        <v>1048</v>
      </c>
      <c r="L93" s="404" t="s">
        <v>1048</v>
      </c>
      <c r="M93" s="404" t="s">
        <v>1048</v>
      </c>
      <c r="N93" s="404" t="s">
        <v>1048</v>
      </c>
      <c r="O93" s="404">
        <v>10</v>
      </c>
      <c r="P93" s="404">
        <v>20</v>
      </c>
      <c r="Q93" s="404">
        <v>25</v>
      </c>
      <c r="R93" s="404" t="s">
        <v>1049</v>
      </c>
      <c r="S93" s="404">
        <v>10</v>
      </c>
      <c r="T93" s="404">
        <v>20</v>
      </c>
      <c r="U93" s="404">
        <v>25</v>
      </c>
      <c r="V93" s="404">
        <v>10</v>
      </c>
      <c r="W93" s="404">
        <v>20</v>
      </c>
      <c r="X93" s="404">
        <v>10</v>
      </c>
      <c r="Y93" s="404" t="s">
        <v>1048</v>
      </c>
    </row>
    <row r="94" spans="3:25" x14ac:dyDescent="0.25">
      <c r="C94" s="68" t="str">
        <f>'G-1 All Habitats'!B93</f>
        <v>Woodland and forest - Native pine woodlands</v>
      </c>
      <c r="D94" s="404" t="s">
        <v>1048</v>
      </c>
      <c r="E94" s="404" t="s">
        <v>1048</v>
      </c>
      <c r="F94" s="404">
        <v>25</v>
      </c>
      <c r="G94" s="404">
        <v>30</v>
      </c>
      <c r="H94" s="404" t="s">
        <v>1049</v>
      </c>
      <c r="I94" s="404" t="s">
        <v>1049</v>
      </c>
      <c r="J94" s="404" t="s">
        <v>1049</v>
      </c>
      <c r="K94" s="404" t="s">
        <v>1048</v>
      </c>
      <c r="L94" s="404" t="s">
        <v>1048</v>
      </c>
      <c r="M94" s="404" t="s">
        <v>1048</v>
      </c>
      <c r="N94" s="404" t="s">
        <v>1048</v>
      </c>
      <c r="O94" s="404">
        <v>10</v>
      </c>
      <c r="P94" s="404">
        <v>15</v>
      </c>
      <c r="Q94" s="404">
        <v>20</v>
      </c>
      <c r="R94" s="404" t="s">
        <v>1049</v>
      </c>
      <c r="S94" s="404">
        <v>15</v>
      </c>
      <c r="T94" s="404">
        <v>20</v>
      </c>
      <c r="U94" s="404">
        <v>25</v>
      </c>
      <c r="V94" s="404">
        <v>10</v>
      </c>
      <c r="W94" s="404">
        <v>15</v>
      </c>
      <c r="X94" s="404">
        <v>10</v>
      </c>
      <c r="Y94" s="404" t="s">
        <v>1048</v>
      </c>
    </row>
    <row r="95" spans="3:25" x14ac:dyDescent="0.25">
      <c r="C95" s="68" t="str">
        <f>'G-1 All Habitats'!B94</f>
        <v>Woodland and forest - Other coniferous woodland</v>
      </c>
      <c r="D95" s="404" t="s">
        <v>1048</v>
      </c>
      <c r="E95" s="404" t="s">
        <v>1048</v>
      </c>
      <c r="F95" s="404" t="s">
        <v>1048</v>
      </c>
      <c r="G95" s="404" t="s">
        <v>1048</v>
      </c>
      <c r="H95" s="404" t="s">
        <v>1048</v>
      </c>
      <c r="I95" s="404" t="s">
        <v>1048</v>
      </c>
      <c r="J95" s="404" t="s">
        <v>1048</v>
      </c>
      <c r="K95" s="404" t="s">
        <v>1048</v>
      </c>
      <c r="L95" s="404" t="s">
        <v>1048</v>
      </c>
      <c r="M95" s="404" t="s">
        <v>1048</v>
      </c>
      <c r="N95" s="404" t="s">
        <v>1048</v>
      </c>
      <c r="O95" s="404">
        <v>5</v>
      </c>
      <c r="P95" s="404">
        <v>25</v>
      </c>
      <c r="Q95" s="404" t="s">
        <v>1049</v>
      </c>
      <c r="R95" s="404" t="s">
        <v>1049</v>
      </c>
      <c r="S95" s="404">
        <v>20</v>
      </c>
      <c r="T95" s="404">
        <v>15</v>
      </c>
      <c r="U95" s="404">
        <v>25</v>
      </c>
      <c r="V95" s="404">
        <v>5</v>
      </c>
      <c r="W95" s="404">
        <v>7</v>
      </c>
      <c r="X95" s="404">
        <v>10</v>
      </c>
      <c r="Y95" s="404" t="s">
        <v>1048</v>
      </c>
    </row>
    <row r="96" spans="3:25" x14ac:dyDescent="0.25">
      <c r="C96" s="68" t="str">
        <f>'G-1 All Habitats'!B95</f>
        <v>Woodland and forest - Other Scot's pine woodland</v>
      </c>
      <c r="D96" s="404" t="s">
        <v>1048</v>
      </c>
      <c r="E96" s="404" t="s">
        <v>1048</v>
      </c>
      <c r="F96" s="404">
        <v>20</v>
      </c>
      <c r="G96" s="404">
        <v>25</v>
      </c>
      <c r="H96" s="404" t="s">
        <v>1049</v>
      </c>
      <c r="I96" s="404" t="s">
        <v>1049</v>
      </c>
      <c r="J96" s="404" t="s">
        <v>1049</v>
      </c>
      <c r="K96" s="404" t="s">
        <v>1048</v>
      </c>
      <c r="L96" s="404" t="s">
        <v>1048</v>
      </c>
      <c r="M96" s="404" t="s">
        <v>1048</v>
      </c>
      <c r="N96" s="404" t="s">
        <v>1048</v>
      </c>
      <c r="O96" s="404">
        <v>10</v>
      </c>
      <c r="P96" s="404">
        <v>15</v>
      </c>
      <c r="Q96" s="404">
        <v>20</v>
      </c>
      <c r="R96" s="404" t="s">
        <v>1049</v>
      </c>
      <c r="S96" s="404">
        <v>15</v>
      </c>
      <c r="T96" s="404">
        <v>20</v>
      </c>
      <c r="U96" s="404">
        <v>25</v>
      </c>
      <c r="V96" s="404">
        <v>10</v>
      </c>
      <c r="W96" s="404">
        <v>15</v>
      </c>
      <c r="X96" s="404">
        <v>10</v>
      </c>
      <c r="Y96" s="404" t="s">
        <v>1048</v>
      </c>
    </row>
    <row r="97" spans="3:25" x14ac:dyDescent="0.25">
      <c r="C97" s="68" t="str">
        <f>'G-1 All Habitats'!B96</f>
        <v>Woodland and forest - Other woodland; broadleaved</v>
      </c>
      <c r="D97" s="404" t="s">
        <v>1048</v>
      </c>
      <c r="E97" s="404" t="s">
        <v>1048</v>
      </c>
      <c r="F97" s="404">
        <v>5</v>
      </c>
      <c r="G97" s="404">
        <v>10</v>
      </c>
      <c r="H97" s="404">
        <v>15</v>
      </c>
      <c r="I97" s="404">
        <v>20</v>
      </c>
      <c r="J97" s="404">
        <v>25</v>
      </c>
      <c r="K97" s="404" t="s">
        <v>1048</v>
      </c>
      <c r="L97" s="404" t="s">
        <v>1048</v>
      </c>
      <c r="M97" s="404" t="s">
        <v>1048</v>
      </c>
      <c r="N97" s="404" t="s">
        <v>1048</v>
      </c>
      <c r="O97" s="404">
        <v>5</v>
      </c>
      <c r="P97" s="404">
        <v>10</v>
      </c>
      <c r="Q97" s="404">
        <v>15</v>
      </c>
      <c r="R97" s="404">
        <v>20</v>
      </c>
      <c r="S97" s="404">
        <v>5</v>
      </c>
      <c r="T97" s="404">
        <v>10</v>
      </c>
      <c r="U97" s="404">
        <v>15</v>
      </c>
      <c r="V97" s="404">
        <v>5</v>
      </c>
      <c r="W97" s="404">
        <v>10</v>
      </c>
      <c r="X97" s="404">
        <v>5</v>
      </c>
      <c r="Y97" s="404" t="s">
        <v>1048</v>
      </c>
    </row>
    <row r="98" spans="3:25" x14ac:dyDescent="0.25">
      <c r="C98" s="68" t="str">
        <f>'G-1 All Habitats'!B97</f>
        <v>Woodland and forest - Other woodland; mixed</v>
      </c>
      <c r="D98" s="404" t="s">
        <v>1048</v>
      </c>
      <c r="E98" s="404" t="s">
        <v>1048</v>
      </c>
      <c r="F98" s="404">
        <v>5</v>
      </c>
      <c r="G98" s="404">
        <v>10</v>
      </c>
      <c r="H98" s="404">
        <v>15</v>
      </c>
      <c r="I98" s="404">
        <v>20</v>
      </c>
      <c r="J98" s="404">
        <v>25</v>
      </c>
      <c r="K98" s="404" t="s">
        <v>1048</v>
      </c>
      <c r="L98" s="404" t="s">
        <v>1048</v>
      </c>
      <c r="M98" s="404" t="s">
        <v>1048</v>
      </c>
      <c r="N98" s="404" t="s">
        <v>1048</v>
      </c>
      <c r="O98" s="404">
        <v>5</v>
      </c>
      <c r="P98" s="404">
        <v>10</v>
      </c>
      <c r="Q98" s="404">
        <v>15</v>
      </c>
      <c r="R98" s="404">
        <v>20</v>
      </c>
      <c r="S98" s="404">
        <v>5</v>
      </c>
      <c r="T98" s="404">
        <v>10</v>
      </c>
      <c r="U98" s="404">
        <v>15</v>
      </c>
      <c r="V98" s="404">
        <v>5</v>
      </c>
      <c r="W98" s="404">
        <v>10</v>
      </c>
      <c r="X98" s="404">
        <v>5</v>
      </c>
      <c r="Y98" s="404" t="s">
        <v>1048</v>
      </c>
    </row>
    <row r="99" spans="3:25" x14ac:dyDescent="0.25">
      <c r="C99" s="68" t="str">
        <f>'G-1 All Habitats'!B98</f>
        <v>Woodland and forest - Upland birchwoods</v>
      </c>
      <c r="D99" s="404" t="s">
        <v>1048</v>
      </c>
      <c r="E99" s="404" t="s">
        <v>1048</v>
      </c>
      <c r="F99" s="404">
        <v>10</v>
      </c>
      <c r="G99" s="404">
        <v>20</v>
      </c>
      <c r="H99" s="404">
        <v>25</v>
      </c>
      <c r="I99" s="404">
        <v>30</v>
      </c>
      <c r="J99" s="404" t="s">
        <v>1049</v>
      </c>
      <c r="K99" s="404" t="s">
        <v>1048</v>
      </c>
      <c r="L99" s="404" t="s">
        <v>1048</v>
      </c>
      <c r="M99" s="404" t="s">
        <v>1048</v>
      </c>
      <c r="N99" s="404" t="s">
        <v>1048</v>
      </c>
      <c r="O99" s="404">
        <v>10</v>
      </c>
      <c r="P99" s="404">
        <v>15</v>
      </c>
      <c r="Q99" s="404">
        <v>20</v>
      </c>
      <c r="R99" s="404" t="s">
        <v>1049</v>
      </c>
      <c r="S99" s="404">
        <v>15</v>
      </c>
      <c r="T99" s="404">
        <v>20</v>
      </c>
      <c r="U99" s="404">
        <v>25</v>
      </c>
      <c r="V99" s="404">
        <v>10</v>
      </c>
      <c r="W99" s="404">
        <v>15</v>
      </c>
      <c r="X99" s="404">
        <v>10</v>
      </c>
      <c r="Y99" s="404" t="s">
        <v>1048</v>
      </c>
    </row>
    <row r="100" spans="3:25" x14ac:dyDescent="0.25">
      <c r="C100" s="68" t="str">
        <f>'G-1 All Habitats'!B99</f>
        <v>Woodland and forest - Upland mixed ashwoods</v>
      </c>
      <c r="D100" s="404" t="s">
        <v>1048</v>
      </c>
      <c r="E100" s="404" t="s">
        <v>1048</v>
      </c>
      <c r="F100" s="404">
        <v>10</v>
      </c>
      <c r="G100" s="404">
        <v>25</v>
      </c>
      <c r="H100" s="404" t="s">
        <v>1049</v>
      </c>
      <c r="I100" s="404" t="s">
        <v>1049</v>
      </c>
      <c r="J100" s="404" t="s">
        <v>1049</v>
      </c>
      <c r="K100" s="404" t="s">
        <v>1048</v>
      </c>
      <c r="L100" s="404" t="s">
        <v>1048</v>
      </c>
      <c r="M100" s="404" t="s">
        <v>1048</v>
      </c>
      <c r="N100" s="404" t="s">
        <v>1048</v>
      </c>
      <c r="O100" s="404">
        <v>10</v>
      </c>
      <c r="P100" s="404">
        <v>15</v>
      </c>
      <c r="Q100" s="404">
        <v>20</v>
      </c>
      <c r="R100" s="404" t="s">
        <v>1049</v>
      </c>
      <c r="S100" s="404">
        <v>15</v>
      </c>
      <c r="T100" s="404">
        <v>20</v>
      </c>
      <c r="U100" s="404">
        <v>25</v>
      </c>
      <c r="V100" s="404">
        <v>10</v>
      </c>
      <c r="W100" s="404">
        <v>15</v>
      </c>
      <c r="X100" s="404">
        <v>10</v>
      </c>
      <c r="Y100" s="404" t="s">
        <v>1048</v>
      </c>
    </row>
    <row r="101" spans="3:25" x14ac:dyDescent="0.25">
      <c r="C101" s="68" t="str">
        <f>'G-1 All Habitats'!B100</f>
        <v>Woodland and forest - Upland oakwood</v>
      </c>
      <c r="D101" s="404" t="s">
        <v>1048</v>
      </c>
      <c r="E101" s="404" t="s">
        <v>1048</v>
      </c>
      <c r="F101" s="404">
        <v>10</v>
      </c>
      <c r="G101" s="404">
        <v>25</v>
      </c>
      <c r="H101" s="404" t="s">
        <v>1049</v>
      </c>
      <c r="I101" s="404" t="s">
        <v>1049</v>
      </c>
      <c r="J101" s="404" t="s">
        <v>1049</v>
      </c>
      <c r="K101" s="404" t="s">
        <v>1048</v>
      </c>
      <c r="L101" s="404" t="s">
        <v>1048</v>
      </c>
      <c r="M101" s="404" t="s">
        <v>1048</v>
      </c>
      <c r="N101" s="404" t="s">
        <v>1048</v>
      </c>
      <c r="O101" s="404">
        <v>25</v>
      </c>
      <c r="P101" s="404" t="s">
        <v>1049</v>
      </c>
      <c r="Q101" s="404" t="s">
        <v>1049</v>
      </c>
      <c r="R101" s="404" t="s">
        <v>1049</v>
      </c>
      <c r="S101" s="404" t="s">
        <v>1049</v>
      </c>
      <c r="T101" s="404" t="s">
        <v>1049</v>
      </c>
      <c r="U101" s="404" t="s">
        <v>1049</v>
      </c>
      <c r="V101" s="404" t="s">
        <v>1049</v>
      </c>
      <c r="W101" s="404" t="s">
        <v>1049</v>
      </c>
      <c r="X101" s="404" t="s">
        <v>1049</v>
      </c>
      <c r="Y101" s="404" t="s">
        <v>1048</v>
      </c>
    </row>
    <row r="102" spans="3:25" x14ac:dyDescent="0.25">
      <c r="C102" s="68" t="str">
        <f>'G-1 All Habitats'!B101</f>
        <v>Woodland and forest - Wet woodland</v>
      </c>
      <c r="D102" s="404" t="s">
        <v>1048</v>
      </c>
      <c r="E102" s="404" t="s">
        <v>1048</v>
      </c>
      <c r="F102" s="404">
        <v>10</v>
      </c>
      <c r="G102" s="404">
        <v>20</v>
      </c>
      <c r="H102" s="404">
        <v>25</v>
      </c>
      <c r="I102" s="404">
        <v>30</v>
      </c>
      <c r="J102" s="404" t="s">
        <v>1049</v>
      </c>
      <c r="K102" s="404" t="s">
        <v>1048</v>
      </c>
      <c r="L102" s="404" t="s">
        <v>1048</v>
      </c>
      <c r="M102" s="404" t="s">
        <v>1048</v>
      </c>
      <c r="N102" s="404" t="s">
        <v>1048</v>
      </c>
      <c r="O102" s="404">
        <v>10</v>
      </c>
      <c r="P102" s="404">
        <v>10</v>
      </c>
      <c r="Q102" s="404">
        <v>15</v>
      </c>
      <c r="R102" s="404" t="s">
        <v>1049</v>
      </c>
      <c r="S102" s="404">
        <v>15</v>
      </c>
      <c r="T102" s="404">
        <v>20</v>
      </c>
      <c r="U102" s="404">
        <v>25</v>
      </c>
      <c r="V102" s="404">
        <v>10</v>
      </c>
      <c r="W102" s="404">
        <v>15</v>
      </c>
      <c r="X102" s="404">
        <v>10</v>
      </c>
      <c r="Y102" s="404" t="s">
        <v>1048</v>
      </c>
    </row>
    <row r="103" spans="3:25" x14ac:dyDescent="0.25">
      <c r="C103" s="68" t="str">
        <f>'G-1 All Habitats'!B102</f>
        <v>Woodland and forest - Wood-pasture and parkland</v>
      </c>
      <c r="D103" s="404" t="s">
        <v>1048</v>
      </c>
      <c r="E103" s="404" t="s">
        <v>1048</v>
      </c>
      <c r="F103" s="404">
        <v>10</v>
      </c>
      <c r="G103" s="404">
        <v>25</v>
      </c>
      <c r="H103" s="404" t="s">
        <v>1049</v>
      </c>
      <c r="I103" s="404" t="s">
        <v>1049</v>
      </c>
      <c r="J103" s="404" t="s">
        <v>1049</v>
      </c>
      <c r="K103" s="404" t="s">
        <v>1048</v>
      </c>
      <c r="L103" s="404" t="s">
        <v>1048</v>
      </c>
      <c r="M103" s="404" t="s">
        <v>1048</v>
      </c>
      <c r="N103" s="404" t="s">
        <v>1048</v>
      </c>
      <c r="O103" s="404">
        <v>25</v>
      </c>
      <c r="P103" s="404" t="s">
        <v>1049</v>
      </c>
      <c r="Q103" s="404" t="s">
        <v>1049</v>
      </c>
      <c r="R103" s="404" t="s">
        <v>1049</v>
      </c>
      <c r="S103" s="404" t="s">
        <v>1049</v>
      </c>
      <c r="T103" s="404" t="s">
        <v>1049</v>
      </c>
      <c r="U103" s="404" t="s">
        <v>1049</v>
      </c>
      <c r="V103" s="404" t="s">
        <v>1049</v>
      </c>
      <c r="W103" s="404" t="s">
        <v>1049</v>
      </c>
      <c r="X103" s="404" t="s">
        <v>1049</v>
      </c>
      <c r="Y103" s="404" t="s">
        <v>1048</v>
      </c>
    </row>
    <row r="104" spans="3:25" x14ac:dyDescent="0.25">
      <c r="C104" s="68" t="str">
        <f>'G-1 All Habitats'!B103</f>
        <v>Coastal lagoons - Coastal lagoons</v>
      </c>
      <c r="D104" s="404" t="s">
        <v>1048</v>
      </c>
      <c r="E104" s="404" t="s">
        <v>1048</v>
      </c>
      <c r="F104" s="404" t="s">
        <v>1048</v>
      </c>
      <c r="G104" s="404" t="s">
        <v>1048</v>
      </c>
      <c r="H104" s="404" t="s">
        <v>1048</v>
      </c>
      <c r="I104" s="404" t="s">
        <v>1048</v>
      </c>
      <c r="J104" s="404" t="s">
        <v>1048</v>
      </c>
      <c r="K104" s="404" t="s">
        <v>1048</v>
      </c>
      <c r="L104" s="404" t="s">
        <v>1048</v>
      </c>
      <c r="M104" s="404" t="s">
        <v>1048</v>
      </c>
      <c r="N104" s="404" t="s">
        <v>1048</v>
      </c>
      <c r="O104" s="404">
        <v>1</v>
      </c>
      <c r="P104" s="404">
        <v>4</v>
      </c>
      <c r="Q104" s="404">
        <v>8</v>
      </c>
      <c r="R104" s="404">
        <v>12</v>
      </c>
      <c r="S104" s="404">
        <v>3</v>
      </c>
      <c r="T104" s="404">
        <v>7</v>
      </c>
      <c r="U104" s="404">
        <v>11</v>
      </c>
      <c r="V104" s="404">
        <v>4</v>
      </c>
      <c r="W104" s="404">
        <v>8</v>
      </c>
      <c r="X104" s="404">
        <v>4</v>
      </c>
      <c r="Y104" s="404" t="s">
        <v>1048</v>
      </c>
    </row>
    <row r="105" spans="3:25" x14ac:dyDescent="0.25">
      <c r="C105" s="68" t="str">
        <f>'G-1 All Habitats'!B104</f>
        <v>Rocky shore - High energy littoral rock</v>
      </c>
      <c r="D105" s="404" t="s">
        <v>1048</v>
      </c>
      <c r="E105" s="404" t="s">
        <v>1048</v>
      </c>
      <c r="F105" s="404" t="s">
        <v>1048</v>
      </c>
      <c r="G105" s="404" t="s">
        <v>1048</v>
      </c>
      <c r="H105" s="404" t="s">
        <v>1048</v>
      </c>
      <c r="I105" s="404" t="s">
        <v>1048</v>
      </c>
      <c r="J105" s="404" t="s">
        <v>1048</v>
      </c>
      <c r="K105" s="404" t="s">
        <v>1048</v>
      </c>
      <c r="L105" s="404" t="s">
        <v>1048</v>
      </c>
      <c r="M105" s="404" t="s">
        <v>1048</v>
      </c>
      <c r="N105" s="404" t="s">
        <v>1048</v>
      </c>
      <c r="O105" s="404">
        <v>2</v>
      </c>
      <c r="P105" s="404">
        <v>4</v>
      </c>
      <c r="Q105" s="404">
        <v>6</v>
      </c>
      <c r="R105" s="404">
        <v>10</v>
      </c>
      <c r="S105" s="404">
        <v>2</v>
      </c>
      <c r="T105" s="404">
        <v>4</v>
      </c>
      <c r="U105" s="404">
        <v>8</v>
      </c>
      <c r="V105" s="404">
        <v>2</v>
      </c>
      <c r="W105" s="404">
        <v>6</v>
      </c>
      <c r="X105" s="404">
        <v>4</v>
      </c>
      <c r="Y105" s="404" t="s">
        <v>1048</v>
      </c>
    </row>
    <row r="106" spans="3:25" x14ac:dyDescent="0.25">
      <c r="C106" s="68" t="str">
        <f>'G-1 All Habitats'!B105</f>
        <v>Rocky shore - High energy littoral rock - on peat, clay or chalk</v>
      </c>
      <c r="D106" s="404" t="s">
        <v>1048</v>
      </c>
      <c r="E106" s="404" t="s">
        <v>1048</v>
      </c>
      <c r="F106" s="404" t="s">
        <v>1048</v>
      </c>
      <c r="G106" s="404" t="s">
        <v>1048</v>
      </c>
      <c r="H106" s="404" t="s">
        <v>1048</v>
      </c>
      <c r="I106" s="404" t="s">
        <v>1048</v>
      </c>
      <c r="J106" s="404" t="s">
        <v>1048</v>
      </c>
      <c r="K106" s="404" t="s">
        <v>1048</v>
      </c>
      <c r="L106" s="404" t="s">
        <v>1048</v>
      </c>
      <c r="M106" s="404" t="s">
        <v>1048</v>
      </c>
      <c r="N106" s="404" t="s">
        <v>1048</v>
      </c>
      <c r="O106" s="404">
        <v>2</v>
      </c>
      <c r="P106" s="404">
        <v>4</v>
      </c>
      <c r="Q106" s="404">
        <v>6</v>
      </c>
      <c r="R106" s="404">
        <v>10</v>
      </c>
      <c r="S106" s="404">
        <v>2</v>
      </c>
      <c r="T106" s="404">
        <v>4</v>
      </c>
      <c r="U106" s="404">
        <v>8</v>
      </c>
      <c r="V106" s="404">
        <v>2</v>
      </c>
      <c r="W106" s="404">
        <v>6</v>
      </c>
      <c r="X106" s="404">
        <v>4</v>
      </c>
      <c r="Y106" s="404" t="s">
        <v>1048</v>
      </c>
    </row>
    <row r="107" spans="3:25" x14ac:dyDescent="0.25">
      <c r="C107" s="68" t="str">
        <f>'G-1 All Habitats'!B106</f>
        <v>Rocky shore - Moderate energy littoral rock</v>
      </c>
      <c r="D107" s="404" t="s">
        <v>1048</v>
      </c>
      <c r="E107" s="404" t="s">
        <v>1048</v>
      </c>
      <c r="F107" s="404" t="s">
        <v>1048</v>
      </c>
      <c r="G107" s="404" t="s">
        <v>1048</v>
      </c>
      <c r="H107" s="404" t="s">
        <v>1048</v>
      </c>
      <c r="I107" s="404" t="s">
        <v>1048</v>
      </c>
      <c r="J107" s="404" t="s">
        <v>1048</v>
      </c>
      <c r="K107" s="404" t="s">
        <v>1048</v>
      </c>
      <c r="L107" s="404" t="s">
        <v>1048</v>
      </c>
      <c r="M107" s="404" t="s">
        <v>1048</v>
      </c>
      <c r="N107" s="404" t="s">
        <v>1048</v>
      </c>
      <c r="O107" s="404">
        <v>2</v>
      </c>
      <c r="P107" s="404">
        <v>4</v>
      </c>
      <c r="Q107" s="404">
        <v>6</v>
      </c>
      <c r="R107" s="404">
        <v>11</v>
      </c>
      <c r="S107" s="404">
        <v>2</v>
      </c>
      <c r="T107" s="404">
        <v>4</v>
      </c>
      <c r="U107" s="404">
        <v>9</v>
      </c>
      <c r="V107" s="404">
        <v>2</v>
      </c>
      <c r="W107" s="404">
        <v>7</v>
      </c>
      <c r="X107" s="404">
        <v>5</v>
      </c>
      <c r="Y107" s="404" t="s">
        <v>1048</v>
      </c>
    </row>
    <row r="108" spans="3:25" x14ac:dyDescent="0.25">
      <c r="C108" s="68" t="str">
        <f>'G-1 All Habitats'!B107</f>
        <v>Rocky shore - Moderate energy littoral rock - on peat, clay or chalk</v>
      </c>
      <c r="D108" s="404" t="s">
        <v>1048</v>
      </c>
      <c r="E108" s="404" t="s">
        <v>1048</v>
      </c>
      <c r="F108" s="404" t="s">
        <v>1048</v>
      </c>
      <c r="G108" s="404" t="s">
        <v>1048</v>
      </c>
      <c r="H108" s="404" t="s">
        <v>1048</v>
      </c>
      <c r="I108" s="404" t="s">
        <v>1048</v>
      </c>
      <c r="J108" s="404" t="s">
        <v>1048</v>
      </c>
      <c r="K108" s="404" t="s">
        <v>1048</v>
      </c>
      <c r="L108" s="404" t="s">
        <v>1048</v>
      </c>
      <c r="M108" s="404" t="s">
        <v>1048</v>
      </c>
      <c r="N108" s="404" t="s">
        <v>1048</v>
      </c>
      <c r="O108" s="404">
        <v>2</v>
      </c>
      <c r="P108" s="404">
        <v>4</v>
      </c>
      <c r="Q108" s="404">
        <v>6</v>
      </c>
      <c r="R108" s="404">
        <v>11</v>
      </c>
      <c r="S108" s="404">
        <v>2</v>
      </c>
      <c r="T108" s="404">
        <v>4</v>
      </c>
      <c r="U108" s="404">
        <v>9</v>
      </c>
      <c r="V108" s="404">
        <v>2</v>
      </c>
      <c r="W108" s="404">
        <v>7</v>
      </c>
      <c r="X108" s="404">
        <v>5</v>
      </c>
      <c r="Y108" s="404" t="s">
        <v>1048</v>
      </c>
    </row>
    <row r="109" spans="3:25" x14ac:dyDescent="0.25">
      <c r="C109" s="68" t="str">
        <f>'G-1 All Habitats'!B108</f>
        <v>Rocky shore - Low energy littoral rock</v>
      </c>
      <c r="D109" s="404" t="s">
        <v>1048</v>
      </c>
      <c r="E109" s="404" t="s">
        <v>1048</v>
      </c>
      <c r="F109" s="404" t="s">
        <v>1048</v>
      </c>
      <c r="G109" s="404" t="s">
        <v>1048</v>
      </c>
      <c r="H109" s="404" t="s">
        <v>1048</v>
      </c>
      <c r="I109" s="404" t="s">
        <v>1048</v>
      </c>
      <c r="J109" s="404" t="s">
        <v>1048</v>
      </c>
      <c r="K109" s="404" t="s">
        <v>1048</v>
      </c>
      <c r="L109" s="404" t="s">
        <v>1048</v>
      </c>
      <c r="M109" s="404" t="s">
        <v>1048</v>
      </c>
      <c r="N109" s="404" t="s">
        <v>1048</v>
      </c>
      <c r="O109" s="404">
        <v>2</v>
      </c>
      <c r="P109" s="404">
        <v>4</v>
      </c>
      <c r="Q109" s="404">
        <v>6</v>
      </c>
      <c r="R109" s="404">
        <v>12</v>
      </c>
      <c r="S109" s="404">
        <v>2</v>
      </c>
      <c r="T109" s="404">
        <v>4</v>
      </c>
      <c r="U109" s="404">
        <v>10</v>
      </c>
      <c r="V109" s="404">
        <v>2</v>
      </c>
      <c r="W109" s="404">
        <v>8</v>
      </c>
      <c r="X109" s="404">
        <v>6</v>
      </c>
      <c r="Y109" s="404" t="s">
        <v>1048</v>
      </c>
    </row>
    <row r="110" spans="3:25" x14ac:dyDescent="0.25">
      <c r="C110" s="68" t="str">
        <f>'G-1 All Habitats'!B109</f>
        <v>Rocky shore - Low energy littoral rock - on peat, clay or chalk</v>
      </c>
      <c r="D110" s="404" t="s">
        <v>1048</v>
      </c>
      <c r="E110" s="404" t="s">
        <v>1048</v>
      </c>
      <c r="F110" s="404" t="s">
        <v>1048</v>
      </c>
      <c r="G110" s="404" t="s">
        <v>1048</v>
      </c>
      <c r="H110" s="404" t="s">
        <v>1048</v>
      </c>
      <c r="I110" s="404" t="s">
        <v>1048</v>
      </c>
      <c r="J110" s="404" t="s">
        <v>1048</v>
      </c>
      <c r="K110" s="404" t="s">
        <v>1048</v>
      </c>
      <c r="L110" s="404" t="s">
        <v>1048</v>
      </c>
      <c r="M110" s="404" t="s">
        <v>1048</v>
      </c>
      <c r="N110" s="404" t="s">
        <v>1048</v>
      </c>
      <c r="O110" s="404">
        <v>2</v>
      </c>
      <c r="P110" s="404">
        <v>4</v>
      </c>
      <c r="Q110" s="404">
        <v>6</v>
      </c>
      <c r="R110" s="404">
        <v>12</v>
      </c>
      <c r="S110" s="404">
        <v>2</v>
      </c>
      <c r="T110" s="404">
        <v>4</v>
      </c>
      <c r="U110" s="404">
        <v>10</v>
      </c>
      <c r="V110" s="404">
        <v>2</v>
      </c>
      <c r="W110" s="404">
        <v>8</v>
      </c>
      <c r="X110" s="404">
        <v>6</v>
      </c>
      <c r="Y110" s="404" t="s">
        <v>1048</v>
      </c>
    </row>
    <row r="111" spans="3:25" x14ac:dyDescent="0.25">
      <c r="C111" s="68" t="str">
        <f>'G-1 All Habitats'!B110</f>
        <v>Rocky shore - Features of littoral rock</v>
      </c>
      <c r="D111" s="404" t="s">
        <v>1048</v>
      </c>
      <c r="E111" s="404" t="s">
        <v>1048</v>
      </c>
      <c r="F111" s="404" t="s">
        <v>1048</v>
      </c>
      <c r="G111" s="404" t="s">
        <v>1048</v>
      </c>
      <c r="H111" s="404" t="s">
        <v>1048</v>
      </c>
      <c r="I111" s="404" t="s">
        <v>1048</v>
      </c>
      <c r="J111" s="404" t="s">
        <v>1048</v>
      </c>
      <c r="K111" s="404" t="s">
        <v>1048</v>
      </c>
      <c r="L111" s="404" t="s">
        <v>1048</v>
      </c>
      <c r="M111" s="404" t="s">
        <v>1048</v>
      </c>
      <c r="N111" s="404" t="s">
        <v>1048</v>
      </c>
      <c r="O111" s="404">
        <v>2</v>
      </c>
      <c r="P111" s="404">
        <v>4</v>
      </c>
      <c r="Q111" s="404">
        <v>6</v>
      </c>
      <c r="R111" s="404">
        <v>11</v>
      </c>
      <c r="S111" s="404">
        <v>2</v>
      </c>
      <c r="T111" s="404">
        <v>4</v>
      </c>
      <c r="U111" s="404">
        <v>9</v>
      </c>
      <c r="V111" s="404">
        <v>2</v>
      </c>
      <c r="W111" s="404">
        <v>7</v>
      </c>
      <c r="X111" s="404">
        <v>5</v>
      </c>
      <c r="Y111" s="404" t="s">
        <v>1048</v>
      </c>
    </row>
    <row r="112" spans="3:25" x14ac:dyDescent="0.25">
      <c r="C112" s="68" t="str">
        <f>'G-1 All Habitats'!B111</f>
        <v>Rocky shore - Features of littoral rock - on peat, clay or chalk</v>
      </c>
      <c r="D112" s="404" t="s">
        <v>1048</v>
      </c>
      <c r="E112" s="404" t="s">
        <v>1048</v>
      </c>
      <c r="F112" s="404" t="s">
        <v>1048</v>
      </c>
      <c r="G112" s="404" t="s">
        <v>1048</v>
      </c>
      <c r="H112" s="404" t="s">
        <v>1048</v>
      </c>
      <c r="I112" s="404" t="s">
        <v>1048</v>
      </c>
      <c r="J112" s="404" t="s">
        <v>1048</v>
      </c>
      <c r="K112" s="404" t="s">
        <v>1048</v>
      </c>
      <c r="L112" s="404" t="s">
        <v>1048</v>
      </c>
      <c r="M112" s="404" t="s">
        <v>1048</v>
      </c>
      <c r="N112" s="404" t="s">
        <v>1048</v>
      </c>
      <c r="O112" s="404">
        <v>2</v>
      </c>
      <c r="P112" s="404">
        <v>4</v>
      </c>
      <c r="Q112" s="404">
        <v>6</v>
      </c>
      <c r="R112" s="404">
        <v>11</v>
      </c>
      <c r="S112" s="404">
        <v>2</v>
      </c>
      <c r="T112" s="404">
        <v>4</v>
      </c>
      <c r="U112" s="404">
        <v>9</v>
      </c>
      <c r="V112" s="404">
        <v>2</v>
      </c>
      <c r="W112" s="404">
        <v>7</v>
      </c>
      <c r="X112" s="404">
        <v>5</v>
      </c>
      <c r="Y112" s="404" t="s">
        <v>1048</v>
      </c>
    </row>
    <row r="113" spans="3:25" x14ac:dyDescent="0.25">
      <c r="C113" s="68" t="str">
        <f>'G-1 All Habitats'!B114</f>
        <v>Intertidal sediment - Littoral coarse sediment</v>
      </c>
      <c r="D113" s="404" t="s">
        <v>1048</v>
      </c>
      <c r="E113" s="404" t="s">
        <v>1048</v>
      </c>
      <c r="F113" s="404" t="s">
        <v>1048</v>
      </c>
      <c r="G113" s="404" t="s">
        <v>1048</v>
      </c>
      <c r="H113" s="404" t="s">
        <v>1048</v>
      </c>
      <c r="I113" s="404" t="s">
        <v>1048</v>
      </c>
      <c r="J113" s="404" t="s">
        <v>1048</v>
      </c>
      <c r="K113" s="404" t="s">
        <v>1048</v>
      </c>
      <c r="L113" s="404" t="s">
        <v>1048</v>
      </c>
      <c r="M113" s="404" t="s">
        <v>1048</v>
      </c>
      <c r="N113" s="404" t="s">
        <v>1048</v>
      </c>
      <c r="O113" s="404">
        <v>1</v>
      </c>
      <c r="P113" s="404">
        <v>2</v>
      </c>
      <c r="Q113" s="404">
        <v>3</v>
      </c>
      <c r="R113" s="404">
        <v>4</v>
      </c>
      <c r="S113" s="404">
        <v>1</v>
      </c>
      <c r="T113" s="404">
        <v>2</v>
      </c>
      <c r="U113" s="404">
        <v>3</v>
      </c>
      <c r="V113" s="404">
        <v>1</v>
      </c>
      <c r="W113" s="404">
        <v>2</v>
      </c>
      <c r="X113" s="404">
        <v>1</v>
      </c>
      <c r="Y113" s="404" t="s">
        <v>1048</v>
      </c>
    </row>
    <row r="114" spans="3:25" x14ac:dyDescent="0.25">
      <c r="C114" s="68" t="str">
        <f>'G-1 All Habitats'!B115</f>
        <v>Intertidal sediment - Littoral mud</v>
      </c>
      <c r="D114" s="404" t="s">
        <v>1048</v>
      </c>
      <c r="E114" s="404" t="s">
        <v>1048</v>
      </c>
      <c r="F114" s="404" t="s">
        <v>1048</v>
      </c>
      <c r="G114" s="404" t="s">
        <v>1048</v>
      </c>
      <c r="H114" s="404" t="s">
        <v>1048</v>
      </c>
      <c r="I114" s="404" t="s">
        <v>1048</v>
      </c>
      <c r="J114" s="404" t="s">
        <v>1048</v>
      </c>
      <c r="K114" s="404" t="s">
        <v>1048</v>
      </c>
      <c r="L114" s="404" t="s">
        <v>1048</v>
      </c>
      <c r="M114" s="404" t="s">
        <v>1048</v>
      </c>
      <c r="N114" s="404" t="s">
        <v>1048</v>
      </c>
      <c r="O114" s="404">
        <v>2</v>
      </c>
      <c r="P114" s="404">
        <v>4</v>
      </c>
      <c r="Q114" s="404">
        <v>6</v>
      </c>
      <c r="R114" s="404">
        <v>8</v>
      </c>
      <c r="S114" s="404">
        <v>2</v>
      </c>
      <c r="T114" s="404">
        <v>4</v>
      </c>
      <c r="U114" s="404">
        <v>6</v>
      </c>
      <c r="V114" s="404">
        <v>2</v>
      </c>
      <c r="W114" s="404">
        <v>4</v>
      </c>
      <c r="X114" s="404">
        <v>2</v>
      </c>
      <c r="Y114" s="404" t="s">
        <v>1048</v>
      </c>
    </row>
    <row r="115" spans="3:25" x14ac:dyDescent="0.25">
      <c r="C115" s="68" t="str">
        <f>'G-1 All Habitats'!B116</f>
        <v>Intertidal sediment - Littoral mixed sediments</v>
      </c>
      <c r="D115" s="404" t="s">
        <v>1048</v>
      </c>
      <c r="E115" s="404" t="s">
        <v>1048</v>
      </c>
      <c r="F115" s="404" t="s">
        <v>1048</v>
      </c>
      <c r="G115" s="404" t="s">
        <v>1048</v>
      </c>
      <c r="H115" s="404" t="s">
        <v>1048</v>
      </c>
      <c r="I115" s="404" t="s">
        <v>1048</v>
      </c>
      <c r="J115" s="404" t="s">
        <v>1048</v>
      </c>
      <c r="K115" s="404" t="s">
        <v>1048</v>
      </c>
      <c r="L115" s="404" t="s">
        <v>1048</v>
      </c>
      <c r="M115" s="404" t="s">
        <v>1048</v>
      </c>
      <c r="N115" s="404" t="s">
        <v>1048</v>
      </c>
      <c r="O115" s="404">
        <v>1</v>
      </c>
      <c r="P115" s="404">
        <v>2</v>
      </c>
      <c r="Q115" s="404">
        <v>3</v>
      </c>
      <c r="R115" s="404">
        <v>4</v>
      </c>
      <c r="S115" s="404">
        <v>1</v>
      </c>
      <c r="T115" s="404">
        <v>2</v>
      </c>
      <c r="U115" s="404">
        <v>3</v>
      </c>
      <c r="V115" s="404">
        <v>1</v>
      </c>
      <c r="W115" s="404">
        <v>2</v>
      </c>
      <c r="X115" s="404">
        <v>1</v>
      </c>
      <c r="Y115" s="404" t="s">
        <v>1048</v>
      </c>
    </row>
    <row r="116" spans="3:25" x14ac:dyDescent="0.25">
      <c r="C116" s="68" t="str">
        <f>'G-1 All Habitats'!B112</f>
        <v>Coastal saltmarsh - Saltmarshes and saline reedbeds</v>
      </c>
      <c r="D116" s="404" t="s">
        <v>1048</v>
      </c>
      <c r="E116" s="404" t="s">
        <v>1048</v>
      </c>
      <c r="F116" s="404" t="s">
        <v>1048</v>
      </c>
      <c r="G116" s="404" t="s">
        <v>1048</v>
      </c>
      <c r="H116" s="404" t="s">
        <v>1048</v>
      </c>
      <c r="I116" s="404" t="s">
        <v>1048</v>
      </c>
      <c r="J116" s="404" t="s">
        <v>1048</v>
      </c>
      <c r="K116" s="404" t="s">
        <v>1048</v>
      </c>
      <c r="L116" s="404" t="s">
        <v>1048</v>
      </c>
      <c r="M116" s="404" t="s">
        <v>1048</v>
      </c>
      <c r="N116" s="404" t="s">
        <v>1048</v>
      </c>
      <c r="O116" s="404">
        <v>2</v>
      </c>
      <c r="P116" s="404">
        <v>6</v>
      </c>
      <c r="Q116" s="404">
        <v>10</v>
      </c>
      <c r="R116" s="404">
        <v>20</v>
      </c>
      <c r="S116" s="404">
        <v>4</v>
      </c>
      <c r="T116" s="404">
        <v>8</v>
      </c>
      <c r="U116" s="404">
        <v>18</v>
      </c>
      <c r="V116" s="404">
        <v>4</v>
      </c>
      <c r="W116" s="404">
        <v>14</v>
      </c>
      <c r="X116" s="404">
        <v>10</v>
      </c>
      <c r="Y116" s="404" t="s">
        <v>1048</v>
      </c>
    </row>
    <row r="117" spans="3:25" x14ac:dyDescent="0.25">
      <c r="C117" s="68" t="str">
        <f>'G-1 All Habitats'!B113</f>
        <v>Coastal saltmarsh - Artificial saltmarshes and saline reedbeds</v>
      </c>
      <c r="D117" s="404" t="s">
        <v>1048</v>
      </c>
      <c r="E117" s="404" t="s">
        <v>1048</v>
      </c>
      <c r="F117" s="404" t="s">
        <v>1048</v>
      </c>
      <c r="G117" s="404" t="s">
        <v>1048</v>
      </c>
      <c r="H117" s="404" t="s">
        <v>1048</v>
      </c>
      <c r="I117" s="404" t="s">
        <v>1048</v>
      </c>
      <c r="J117" s="404" t="s">
        <v>1048</v>
      </c>
      <c r="K117" s="404" t="s">
        <v>1048</v>
      </c>
      <c r="L117" s="404" t="s">
        <v>1048</v>
      </c>
      <c r="M117" s="404" t="s">
        <v>1048</v>
      </c>
      <c r="N117" s="404" t="s">
        <v>1048</v>
      </c>
      <c r="O117" s="404">
        <v>2</v>
      </c>
      <c r="P117" s="404">
        <v>6</v>
      </c>
      <c r="Q117" s="404">
        <v>10</v>
      </c>
      <c r="R117" s="404">
        <v>20</v>
      </c>
      <c r="S117" s="404">
        <v>4</v>
      </c>
      <c r="T117" s="404">
        <v>8</v>
      </c>
      <c r="U117" s="404">
        <v>18</v>
      </c>
      <c r="V117" s="404">
        <v>4</v>
      </c>
      <c r="W117" s="404">
        <v>14</v>
      </c>
      <c r="X117" s="404">
        <v>10</v>
      </c>
      <c r="Y117" s="404" t="s">
        <v>1048</v>
      </c>
    </row>
    <row r="118" spans="3:25" x14ac:dyDescent="0.25">
      <c r="C118" s="68" t="str">
        <f>'G-1 All Habitats'!B117</f>
        <v>Intertidal sediment - Littoral seagrass</v>
      </c>
      <c r="D118" s="404" t="s">
        <v>1048</v>
      </c>
      <c r="E118" s="404" t="s">
        <v>1048</v>
      </c>
      <c r="F118" s="404" t="s">
        <v>1048</v>
      </c>
      <c r="G118" s="404" t="s">
        <v>1048</v>
      </c>
      <c r="H118" s="404" t="s">
        <v>1048</v>
      </c>
      <c r="I118" s="404" t="s">
        <v>1048</v>
      </c>
      <c r="J118" s="404" t="s">
        <v>1048</v>
      </c>
      <c r="K118" s="404" t="s">
        <v>1048</v>
      </c>
      <c r="L118" s="404" t="s">
        <v>1048</v>
      </c>
      <c r="M118" s="404" t="s">
        <v>1048</v>
      </c>
      <c r="N118" s="404" t="s">
        <v>1048</v>
      </c>
      <c r="O118" s="404">
        <v>3</v>
      </c>
      <c r="P118" s="404">
        <v>13</v>
      </c>
      <c r="Q118" s="404">
        <v>23</v>
      </c>
      <c r="R118" s="404" t="s">
        <v>1049</v>
      </c>
      <c r="S118" s="404">
        <v>10</v>
      </c>
      <c r="T118" s="404">
        <v>20</v>
      </c>
      <c r="U118" s="404">
        <v>30</v>
      </c>
      <c r="V118" s="404">
        <v>10</v>
      </c>
      <c r="W118" s="404">
        <v>20</v>
      </c>
      <c r="X118" s="404">
        <v>10</v>
      </c>
      <c r="Y118" s="404" t="s">
        <v>1048</v>
      </c>
    </row>
    <row r="119" spans="3:25" x14ac:dyDescent="0.25">
      <c r="C119" s="68" t="str">
        <f>'G-1 All Habitats'!B118</f>
        <v>Intertidal sediment - Littoral seagrass on peat, clay or chalk</v>
      </c>
      <c r="D119" s="404" t="s">
        <v>1048</v>
      </c>
      <c r="E119" s="404" t="s">
        <v>1048</v>
      </c>
      <c r="F119" s="404" t="s">
        <v>1048</v>
      </c>
      <c r="G119" s="404" t="s">
        <v>1048</v>
      </c>
      <c r="H119" s="404" t="s">
        <v>1048</v>
      </c>
      <c r="I119" s="404" t="s">
        <v>1048</v>
      </c>
      <c r="J119" s="404" t="s">
        <v>1048</v>
      </c>
      <c r="K119" s="404" t="s">
        <v>1048</v>
      </c>
      <c r="L119" s="404" t="s">
        <v>1048</v>
      </c>
      <c r="M119" s="404" t="s">
        <v>1048</v>
      </c>
      <c r="N119" s="404" t="s">
        <v>1048</v>
      </c>
      <c r="O119" s="404">
        <v>2</v>
      </c>
      <c r="P119" s="404">
        <v>4</v>
      </c>
      <c r="Q119" s="404">
        <v>7</v>
      </c>
      <c r="R119" s="404" t="s">
        <v>1049</v>
      </c>
      <c r="S119" s="404">
        <v>2</v>
      </c>
      <c r="T119" s="404">
        <v>3</v>
      </c>
      <c r="U119" s="404">
        <v>8</v>
      </c>
      <c r="V119" s="404">
        <v>3</v>
      </c>
      <c r="W119" s="404">
        <v>6</v>
      </c>
      <c r="X119" s="404">
        <v>3</v>
      </c>
      <c r="Y119" s="404" t="s">
        <v>1048</v>
      </c>
    </row>
    <row r="120" spans="3:25" x14ac:dyDescent="0.25">
      <c r="C120" s="68" t="str">
        <f>'G-1 All Habitats'!B119</f>
        <v>Intertidal sediment - Littoral biogenic reefs - Mussels</v>
      </c>
      <c r="D120" s="404" t="s">
        <v>1048</v>
      </c>
      <c r="E120" s="404" t="s">
        <v>1048</v>
      </c>
      <c r="F120" s="404" t="s">
        <v>1048</v>
      </c>
      <c r="G120" s="404" t="s">
        <v>1048</v>
      </c>
      <c r="H120" s="404" t="s">
        <v>1048</v>
      </c>
      <c r="I120" s="404" t="s">
        <v>1048</v>
      </c>
      <c r="J120" s="404" t="s">
        <v>1048</v>
      </c>
      <c r="K120" s="404" t="s">
        <v>1048</v>
      </c>
      <c r="L120" s="404" t="s">
        <v>1048</v>
      </c>
      <c r="M120" s="404" t="s">
        <v>1048</v>
      </c>
      <c r="N120" s="404" t="s">
        <v>1048</v>
      </c>
      <c r="O120" s="404">
        <v>2</v>
      </c>
      <c r="P120" s="404">
        <v>4</v>
      </c>
      <c r="Q120" s="404">
        <v>7</v>
      </c>
      <c r="R120" s="404">
        <v>10</v>
      </c>
      <c r="S120" s="404">
        <v>2</v>
      </c>
      <c r="T120" s="404">
        <v>3</v>
      </c>
      <c r="U120" s="404">
        <v>8</v>
      </c>
      <c r="V120" s="404">
        <v>3</v>
      </c>
      <c r="W120" s="404">
        <v>6</v>
      </c>
      <c r="X120" s="404">
        <v>3</v>
      </c>
      <c r="Y120" s="404" t="s">
        <v>1048</v>
      </c>
    </row>
    <row r="121" spans="3:25" x14ac:dyDescent="0.25">
      <c r="C121" s="68" t="str">
        <f>'G-1 All Habitats'!B120</f>
        <v>Intertidal sediment - Littoral biogenic reefs - Sabellaria</v>
      </c>
      <c r="D121" s="404" t="s">
        <v>1048</v>
      </c>
      <c r="E121" s="404" t="s">
        <v>1048</v>
      </c>
      <c r="F121" s="404" t="s">
        <v>1048</v>
      </c>
      <c r="G121" s="404" t="s">
        <v>1048</v>
      </c>
      <c r="H121" s="404" t="s">
        <v>1048</v>
      </c>
      <c r="I121" s="404" t="s">
        <v>1048</v>
      </c>
      <c r="J121" s="404" t="s">
        <v>1048</v>
      </c>
      <c r="K121" s="404" t="s">
        <v>1048</v>
      </c>
      <c r="L121" s="404" t="s">
        <v>1048</v>
      </c>
      <c r="M121" s="404" t="s">
        <v>1048</v>
      </c>
      <c r="N121" s="404" t="s">
        <v>1048</v>
      </c>
      <c r="O121" s="404">
        <v>2</v>
      </c>
      <c r="P121" s="404">
        <v>4</v>
      </c>
      <c r="Q121" s="404">
        <v>7</v>
      </c>
      <c r="R121" s="404">
        <v>10</v>
      </c>
      <c r="S121" s="404">
        <v>2</v>
      </c>
      <c r="T121" s="404">
        <v>3</v>
      </c>
      <c r="U121" s="404">
        <v>8</v>
      </c>
      <c r="V121" s="404">
        <v>3</v>
      </c>
      <c r="W121" s="404">
        <v>6</v>
      </c>
      <c r="X121" s="404">
        <v>3</v>
      </c>
      <c r="Y121" s="404" t="s">
        <v>1048</v>
      </c>
    </row>
    <row r="122" spans="3:25" x14ac:dyDescent="0.25">
      <c r="C122" s="68" t="str">
        <f>'G-1 All Habitats'!B121</f>
        <v>Intertidal sediment - Features of littoral sediment</v>
      </c>
      <c r="D122" s="404" t="s">
        <v>1048</v>
      </c>
      <c r="E122" s="404" t="s">
        <v>1048</v>
      </c>
      <c r="F122" s="404" t="s">
        <v>1048</v>
      </c>
      <c r="G122" s="404" t="s">
        <v>1048</v>
      </c>
      <c r="H122" s="404" t="s">
        <v>1048</v>
      </c>
      <c r="I122" s="404" t="s">
        <v>1048</v>
      </c>
      <c r="J122" s="404" t="s">
        <v>1048</v>
      </c>
      <c r="K122" s="404" t="s">
        <v>1048</v>
      </c>
      <c r="L122" s="404" t="s">
        <v>1048</v>
      </c>
      <c r="M122" s="404" t="s">
        <v>1048</v>
      </c>
      <c r="N122" s="404" t="s">
        <v>1048</v>
      </c>
      <c r="O122" s="404">
        <v>1</v>
      </c>
      <c r="P122" s="404">
        <v>2</v>
      </c>
      <c r="Q122" s="404">
        <v>3</v>
      </c>
      <c r="R122" s="404">
        <v>5</v>
      </c>
      <c r="S122" s="404">
        <v>1</v>
      </c>
      <c r="T122" s="404">
        <v>2</v>
      </c>
      <c r="U122" s="404">
        <v>4</v>
      </c>
      <c r="V122" s="404">
        <v>1</v>
      </c>
      <c r="W122" s="404">
        <v>3</v>
      </c>
      <c r="X122" s="404">
        <v>2</v>
      </c>
      <c r="Y122" s="404" t="s">
        <v>1048</v>
      </c>
    </row>
    <row r="123" spans="3:25" x14ac:dyDescent="0.25">
      <c r="C123" s="68" t="str">
        <f>'G-1 All Habitats'!B122</f>
        <v>Intertidal sediment - Artificial littoral coarse sediment</v>
      </c>
      <c r="D123" s="404" t="s">
        <v>1048</v>
      </c>
      <c r="E123" s="404" t="s">
        <v>1048</v>
      </c>
      <c r="F123" s="404" t="s">
        <v>1048</v>
      </c>
      <c r="G123" s="404" t="s">
        <v>1048</v>
      </c>
      <c r="H123" s="404" t="s">
        <v>1048</v>
      </c>
      <c r="I123" s="404" t="s">
        <v>1048</v>
      </c>
      <c r="J123" s="404" t="s">
        <v>1048</v>
      </c>
      <c r="K123" s="404" t="s">
        <v>1048</v>
      </c>
      <c r="L123" s="404" t="s">
        <v>1048</v>
      </c>
      <c r="M123" s="404" t="s">
        <v>1048</v>
      </c>
      <c r="N123" s="404" t="s">
        <v>1048</v>
      </c>
      <c r="O123" s="404">
        <v>1</v>
      </c>
      <c r="P123" s="404">
        <v>2</v>
      </c>
      <c r="Q123" s="404">
        <v>3</v>
      </c>
      <c r="R123" s="404">
        <v>4</v>
      </c>
      <c r="S123" s="404">
        <v>1</v>
      </c>
      <c r="T123" s="404">
        <v>2</v>
      </c>
      <c r="U123" s="404">
        <v>3</v>
      </c>
      <c r="V123" s="404">
        <v>1</v>
      </c>
      <c r="W123" s="404">
        <v>2</v>
      </c>
      <c r="X123" s="404">
        <v>1</v>
      </c>
      <c r="Y123" s="404" t="s">
        <v>1048</v>
      </c>
    </row>
    <row r="124" spans="3:25" x14ac:dyDescent="0.25">
      <c r="C124" s="68" t="str">
        <f>'G-1 All Habitats'!B123</f>
        <v>Intertidal sediment - Artificial littoral mud</v>
      </c>
      <c r="D124" s="404" t="s">
        <v>1048</v>
      </c>
      <c r="E124" s="404" t="s">
        <v>1048</v>
      </c>
      <c r="F124" s="404" t="s">
        <v>1048</v>
      </c>
      <c r="G124" s="404" t="s">
        <v>1048</v>
      </c>
      <c r="H124" s="404" t="s">
        <v>1048</v>
      </c>
      <c r="I124" s="404" t="s">
        <v>1048</v>
      </c>
      <c r="J124" s="404" t="s">
        <v>1048</v>
      </c>
      <c r="K124" s="404" t="s">
        <v>1048</v>
      </c>
      <c r="L124" s="404" t="s">
        <v>1048</v>
      </c>
      <c r="M124" s="404" t="s">
        <v>1048</v>
      </c>
      <c r="N124" s="404" t="s">
        <v>1048</v>
      </c>
      <c r="O124" s="404">
        <v>2</v>
      </c>
      <c r="P124" s="404">
        <v>4</v>
      </c>
      <c r="Q124" s="404">
        <v>6</v>
      </c>
      <c r="R124" s="404">
        <v>8</v>
      </c>
      <c r="S124" s="404">
        <v>2</v>
      </c>
      <c r="T124" s="404">
        <v>4</v>
      </c>
      <c r="U124" s="404">
        <v>6</v>
      </c>
      <c r="V124" s="404">
        <v>2</v>
      </c>
      <c r="W124" s="404">
        <v>4</v>
      </c>
      <c r="X124" s="404">
        <v>2</v>
      </c>
      <c r="Y124" s="404" t="s">
        <v>1048</v>
      </c>
    </row>
    <row r="125" spans="3:25" x14ac:dyDescent="0.25">
      <c r="C125" s="68" t="str">
        <f>'G-1 All Habitats'!B124</f>
        <v>Intertidal sediment - Artificial littoral sand</v>
      </c>
      <c r="D125" s="404" t="s">
        <v>1048</v>
      </c>
      <c r="E125" s="404" t="s">
        <v>1048</v>
      </c>
      <c r="F125" s="404" t="s">
        <v>1048</v>
      </c>
      <c r="G125" s="404" t="s">
        <v>1048</v>
      </c>
      <c r="H125" s="404" t="s">
        <v>1048</v>
      </c>
      <c r="I125" s="404" t="s">
        <v>1048</v>
      </c>
      <c r="J125" s="404" t="s">
        <v>1048</v>
      </c>
      <c r="K125" s="404" t="s">
        <v>1048</v>
      </c>
      <c r="L125" s="404" t="s">
        <v>1048</v>
      </c>
      <c r="M125" s="404" t="s">
        <v>1048</v>
      </c>
      <c r="N125" s="404" t="s">
        <v>1048</v>
      </c>
      <c r="O125" s="404">
        <v>2</v>
      </c>
      <c r="P125" s="404">
        <v>3</v>
      </c>
      <c r="Q125" s="404">
        <v>4</v>
      </c>
      <c r="R125" s="404">
        <v>6</v>
      </c>
      <c r="S125" s="404">
        <v>1</v>
      </c>
      <c r="T125" s="404">
        <v>2</v>
      </c>
      <c r="U125" s="404">
        <v>4</v>
      </c>
      <c r="V125" s="404">
        <v>1</v>
      </c>
      <c r="W125" s="404">
        <v>3</v>
      </c>
      <c r="X125" s="404">
        <v>2</v>
      </c>
      <c r="Y125" s="404" t="s">
        <v>1048</v>
      </c>
    </row>
    <row r="126" spans="3:25" x14ac:dyDescent="0.25">
      <c r="C126" s="68" t="str">
        <f>'G-1 All Habitats'!B125</f>
        <v>Intertidal sediment - Artificial littoral muddy sand</v>
      </c>
      <c r="D126" s="404" t="s">
        <v>1048</v>
      </c>
      <c r="E126" s="404" t="s">
        <v>1048</v>
      </c>
      <c r="F126" s="404" t="s">
        <v>1048</v>
      </c>
      <c r="G126" s="404" t="s">
        <v>1048</v>
      </c>
      <c r="H126" s="404" t="s">
        <v>1048</v>
      </c>
      <c r="I126" s="404" t="s">
        <v>1048</v>
      </c>
      <c r="J126" s="404" t="s">
        <v>1048</v>
      </c>
      <c r="K126" s="404" t="s">
        <v>1048</v>
      </c>
      <c r="L126" s="404" t="s">
        <v>1048</v>
      </c>
      <c r="M126" s="404" t="s">
        <v>1048</v>
      </c>
      <c r="N126" s="404" t="s">
        <v>1048</v>
      </c>
      <c r="O126" s="404">
        <v>2</v>
      </c>
      <c r="P126" s="404">
        <v>4</v>
      </c>
      <c r="Q126" s="404">
        <v>6</v>
      </c>
      <c r="R126" s="404">
        <v>8</v>
      </c>
      <c r="S126" s="404">
        <v>2</v>
      </c>
      <c r="T126" s="404">
        <v>4</v>
      </c>
      <c r="U126" s="404">
        <v>6</v>
      </c>
      <c r="V126" s="404">
        <v>2</v>
      </c>
      <c r="W126" s="404">
        <v>4</v>
      </c>
      <c r="X126" s="404">
        <v>2</v>
      </c>
      <c r="Y126" s="404" t="s">
        <v>1048</v>
      </c>
    </row>
    <row r="127" spans="3:25" x14ac:dyDescent="0.25">
      <c r="C127" s="68" t="str">
        <f>'G-1 All Habitats'!B126</f>
        <v>Intertidal sediment - Artificial littoral mixed sediments</v>
      </c>
      <c r="D127" s="404" t="s">
        <v>1048</v>
      </c>
      <c r="E127" s="404" t="s">
        <v>1048</v>
      </c>
      <c r="F127" s="404" t="s">
        <v>1048</v>
      </c>
      <c r="G127" s="404" t="s">
        <v>1048</v>
      </c>
      <c r="H127" s="404" t="s">
        <v>1048</v>
      </c>
      <c r="I127" s="404" t="s">
        <v>1048</v>
      </c>
      <c r="J127" s="404" t="s">
        <v>1048</v>
      </c>
      <c r="K127" s="404" t="s">
        <v>1048</v>
      </c>
      <c r="L127" s="404" t="s">
        <v>1048</v>
      </c>
      <c r="M127" s="404" t="s">
        <v>1048</v>
      </c>
      <c r="N127" s="404" t="s">
        <v>1048</v>
      </c>
      <c r="O127" s="404">
        <v>1</v>
      </c>
      <c r="P127" s="404">
        <v>2</v>
      </c>
      <c r="Q127" s="404">
        <v>3</v>
      </c>
      <c r="R127" s="404">
        <v>4</v>
      </c>
      <c r="S127" s="404">
        <v>1</v>
      </c>
      <c r="T127" s="404">
        <v>2</v>
      </c>
      <c r="U127" s="404">
        <v>3</v>
      </c>
      <c r="V127" s="404">
        <v>1</v>
      </c>
      <c r="W127" s="404">
        <v>2</v>
      </c>
      <c r="X127" s="404">
        <v>1</v>
      </c>
      <c r="Y127" s="404" t="s">
        <v>1048</v>
      </c>
    </row>
    <row r="128" spans="3:25" x14ac:dyDescent="0.25">
      <c r="C128" s="68" t="str">
        <f>'G-1 All Habitats'!B127</f>
        <v>Intertidal sediment - Artificial littoral seagrass</v>
      </c>
      <c r="D128" s="404" t="s">
        <v>1048</v>
      </c>
      <c r="E128" s="404" t="s">
        <v>1048</v>
      </c>
      <c r="F128" s="404" t="s">
        <v>1048</v>
      </c>
      <c r="G128" s="404" t="s">
        <v>1048</v>
      </c>
      <c r="H128" s="404" t="s">
        <v>1048</v>
      </c>
      <c r="I128" s="404" t="s">
        <v>1048</v>
      </c>
      <c r="J128" s="404" t="s">
        <v>1048</v>
      </c>
      <c r="K128" s="404" t="s">
        <v>1048</v>
      </c>
      <c r="L128" s="404" t="s">
        <v>1048</v>
      </c>
      <c r="M128" s="404" t="s">
        <v>1048</v>
      </c>
      <c r="N128" s="404" t="s">
        <v>1048</v>
      </c>
      <c r="O128" s="404">
        <v>3</v>
      </c>
      <c r="P128" s="404">
        <v>13</v>
      </c>
      <c r="Q128" s="404">
        <v>23</v>
      </c>
      <c r="R128" s="404" t="s">
        <v>1049</v>
      </c>
      <c r="S128" s="404">
        <v>10</v>
      </c>
      <c r="T128" s="404">
        <v>20</v>
      </c>
      <c r="U128" s="404">
        <v>30</v>
      </c>
      <c r="V128" s="404">
        <v>10</v>
      </c>
      <c r="W128" s="404">
        <v>20</v>
      </c>
      <c r="X128" s="404">
        <v>10</v>
      </c>
      <c r="Y128" s="404" t="s">
        <v>1048</v>
      </c>
    </row>
    <row r="129" spans="3:25" x14ac:dyDescent="0.25">
      <c r="C129" s="68" t="str">
        <f>'G-1 All Habitats'!B128</f>
        <v>Intertidal sediment - Artificial littoral biogenic reefs</v>
      </c>
      <c r="D129" s="404" t="s">
        <v>1048</v>
      </c>
      <c r="E129" s="404" t="s">
        <v>1048</v>
      </c>
      <c r="F129" s="404" t="s">
        <v>1048</v>
      </c>
      <c r="G129" s="404" t="s">
        <v>1048</v>
      </c>
      <c r="H129" s="404" t="s">
        <v>1048</v>
      </c>
      <c r="I129" s="404" t="s">
        <v>1048</v>
      </c>
      <c r="J129" s="404" t="s">
        <v>1048</v>
      </c>
      <c r="K129" s="404" t="s">
        <v>1048</v>
      </c>
      <c r="L129" s="404" t="s">
        <v>1048</v>
      </c>
      <c r="M129" s="404" t="s">
        <v>1048</v>
      </c>
      <c r="N129" s="404" t="s">
        <v>1048</v>
      </c>
      <c r="O129" s="404">
        <v>2</v>
      </c>
      <c r="P129" s="404">
        <v>4</v>
      </c>
      <c r="Q129" s="404">
        <v>7</v>
      </c>
      <c r="R129" s="404">
        <v>10</v>
      </c>
      <c r="S129" s="404">
        <v>2</v>
      </c>
      <c r="T129" s="404">
        <v>3</v>
      </c>
      <c r="U129" s="404">
        <v>8</v>
      </c>
      <c r="V129" s="404">
        <v>3</v>
      </c>
      <c r="W129" s="404">
        <v>6</v>
      </c>
      <c r="X129" s="404">
        <v>3</v>
      </c>
      <c r="Y129" s="404" t="s">
        <v>1048</v>
      </c>
    </row>
    <row r="130" spans="3:25" x14ac:dyDescent="0.25">
      <c r="C130" s="68" t="str">
        <f>'G-1 All Habitats'!B129</f>
        <v>Intertidal sediment - Littoral sand</v>
      </c>
      <c r="D130" s="404" t="s">
        <v>1048</v>
      </c>
      <c r="E130" s="404" t="s">
        <v>1048</v>
      </c>
      <c r="F130" s="404" t="s">
        <v>1048</v>
      </c>
      <c r="G130" s="404" t="s">
        <v>1048</v>
      </c>
      <c r="H130" s="404" t="s">
        <v>1048</v>
      </c>
      <c r="I130" s="404" t="s">
        <v>1048</v>
      </c>
      <c r="J130" s="404" t="s">
        <v>1048</v>
      </c>
      <c r="K130" s="404" t="s">
        <v>1048</v>
      </c>
      <c r="L130" s="404" t="s">
        <v>1048</v>
      </c>
      <c r="M130" s="404" t="s">
        <v>1048</v>
      </c>
      <c r="N130" s="404" t="s">
        <v>1048</v>
      </c>
      <c r="O130" s="404">
        <v>2</v>
      </c>
      <c r="P130" s="404">
        <v>3</v>
      </c>
      <c r="Q130" s="404">
        <v>4</v>
      </c>
      <c r="R130" s="404">
        <v>6</v>
      </c>
      <c r="S130" s="404">
        <v>1</v>
      </c>
      <c r="T130" s="404">
        <v>2</v>
      </c>
      <c r="U130" s="404">
        <v>4</v>
      </c>
      <c r="V130" s="404">
        <v>1</v>
      </c>
      <c r="W130" s="404">
        <v>3</v>
      </c>
      <c r="X130" s="404">
        <v>2</v>
      </c>
      <c r="Y130" s="404" t="s">
        <v>1048</v>
      </c>
    </row>
    <row r="131" spans="3:25" x14ac:dyDescent="0.25">
      <c r="C131" s="68" t="str">
        <f>'G-1 All Habitats'!B130</f>
        <v>Intertidal sediment - Littoral muddy sand</v>
      </c>
      <c r="D131" s="404" t="s">
        <v>1048</v>
      </c>
      <c r="E131" s="404" t="s">
        <v>1048</v>
      </c>
      <c r="F131" s="404" t="s">
        <v>1048</v>
      </c>
      <c r="G131" s="404" t="s">
        <v>1048</v>
      </c>
      <c r="H131" s="404" t="s">
        <v>1048</v>
      </c>
      <c r="I131" s="404" t="s">
        <v>1048</v>
      </c>
      <c r="J131" s="404" t="s">
        <v>1048</v>
      </c>
      <c r="K131" s="404" t="s">
        <v>1048</v>
      </c>
      <c r="L131" s="404" t="s">
        <v>1048</v>
      </c>
      <c r="M131" s="404" t="s">
        <v>1048</v>
      </c>
      <c r="N131" s="404" t="s">
        <v>1048</v>
      </c>
      <c r="O131" s="404">
        <v>2</v>
      </c>
      <c r="P131" s="404">
        <v>4</v>
      </c>
      <c r="Q131" s="404">
        <v>6</v>
      </c>
      <c r="R131" s="404">
        <v>8</v>
      </c>
      <c r="S131" s="404">
        <v>2</v>
      </c>
      <c r="T131" s="404">
        <v>4</v>
      </c>
      <c r="U131" s="404">
        <v>6</v>
      </c>
      <c r="V131" s="404">
        <v>2</v>
      </c>
      <c r="W131" s="404">
        <v>4</v>
      </c>
      <c r="X131" s="404">
        <v>2</v>
      </c>
      <c r="Y131" s="404" t="s">
        <v>1048</v>
      </c>
    </row>
    <row r="132" spans="3:25" x14ac:dyDescent="0.25">
      <c r="C132" s="68" t="str">
        <f>'G-1 All Habitats'!B131</f>
        <v>Intertidal hard structures - Artificial hard structures</v>
      </c>
      <c r="D132" s="404" t="s">
        <v>1048</v>
      </c>
      <c r="E132" s="404" t="s">
        <v>1048</v>
      </c>
      <c r="F132" s="404" t="s">
        <v>1048</v>
      </c>
      <c r="G132" s="404" t="s">
        <v>1048</v>
      </c>
      <c r="H132" s="404" t="s">
        <v>1048</v>
      </c>
      <c r="I132" s="404" t="s">
        <v>1048</v>
      </c>
      <c r="J132" s="404" t="s">
        <v>1048</v>
      </c>
      <c r="K132" s="404" t="s">
        <v>1048</v>
      </c>
      <c r="L132" s="404" t="s">
        <v>1048</v>
      </c>
      <c r="M132" s="404" t="s">
        <v>1048</v>
      </c>
      <c r="N132" s="404" t="s">
        <v>1048</v>
      </c>
      <c r="O132" s="404">
        <v>6</v>
      </c>
      <c r="P132" s="404">
        <v>4</v>
      </c>
      <c r="Q132" s="404">
        <v>10</v>
      </c>
      <c r="R132" s="404">
        <v>2</v>
      </c>
      <c r="S132" s="404">
        <v>2</v>
      </c>
      <c r="T132" s="404">
        <v>8</v>
      </c>
      <c r="U132" s="404">
        <v>6</v>
      </c>
      <c r="V132" s="404">
        <v>2</v>
      </c>
      <c r="W132" s="404">
        <v>12</v>
      </c>
      <c r="X132" s="404">
        <v>4</v>
      </c>
      <c r="Y132" s="404" t="s">
        <v>1048</v>
      </c>
    </row>
    <row r="133" spans="3:25" x14ac:dyDescent="0.25">
      <c r="C133" s="68" t="str">
        <f>'G-1 All Habitats'!B132</f>
        <v>Intertidal hard structures - Artificial features of hard structures</v>
      </c>
      <c r="D133" s="404" t="s">
        <v>1048</v>
      </c>
      <c r="E133" s="404" t="s">
        <v>1048</v>
      </c>
      <c r="F133" s="404" t="s">
        <v>1048</v>
      </c>
      <c r="G133" s="404" t="s">
        <v>1048</v>
      </c>
      <c r="H133" s="404" t="s">
        <v>1048</v>
      </c>
      <c r="I133" s="404" t="s">
        <v>1048</v>
      </c>
      <c r="J133" s="404" t="s">
        <v>1048</v>
      </c>
      <c r="K133" s="404" t="s">
        <v>1048</v>
      </c>
      <c r="L133" s="404" t="s">
        <v>1048</v>
      </c>
      <c r="M133" s="404" t="s">
        <v>1048</v>
      </c>
      <c r="N133" s="404" t="s">
        <v>1048</v>
      </c>
      <c r="O133" s="404">
        <v>5</v>
      </c>
      <c r="P133" s="404">
        <v>4</v>
      </c>
      <c r="Q133" s="404">
        <v>9</v>
      </c>
      <c r="R133" s="404">
        <v>2</v>
      </c>
      <c r="S133" s="404">
        <v>2</v>
      </c>
      <c r="T133" s="404">
        <v>7</v>
      </c>
      <c r="U133" s="404">
        <v>6</v>
      </c>
      <c r="V133" s="404">
        <v>2</v>
      </c>
      <c r="W133" s="404">
        <v>11</v>
      </c>
      <c r="X133" s="404">
        <v>4</v>
      </c>
      <c r="Y133" s="404" t="s">
        <v>1048</v>
      </c>
    </row>
    <row r="134" spans="3:25" x14ac:dyDescent="0.25">
      <c r="C134" s="68" t="str">
        <f>'G-1 All Habitats'!B133</f>
        <v>Intertidal hard structures - Artificial hard structures with integrated greening of grey infrastructure (IGGI)</v>
      </c>
      <c r="D134" s="404" t="s">
        <v>1048</v>
      </c>
      <c r="E134" s="404" t="s">
        <v>1048</v>
      </c>
      <c r="F134" s="404" t="s">
        <v>1048</v>
      </c>
      <c r="G134" s="404" t="s">
        <v>1048</v>
      </c>
      <c r="H134" s="404" t="s">
        <v>1048</v>
      </c>
      <c r="I134" s="404" t="s">
        <v>1048</v>
      </c>
      <c r="J134" s="404" t="s">
        <v>1048</v>
      </c>
      <c r="K134" s="404" t="s">
        <v>1048</v>
      </c>
      <c r="L134" s="404" t="s">
        <v>1048</v>
      </c>
      <c r="M134" s="404" t="s">
        <v>1048</v>
      </c>
      <c r="N134" s="404" t="s">
        <v>1048</v>
      </c>
      <c r="O134" s="404">
        <v>5</v>
      </c>
      <c r="P134" s="404">
        <v>4</v>
      </c>
      <c r="Q134" s="404">
        <v>9</v>
      </c>
      <c r="R134" s="404">
        <v>2</v>
      </c>
      <c r="S134" s="404">
        <v>2</v>
      </c>
      <c r="T134" s="404">
        <v>7</v>
      </c>
      <c r="U134" s="404">
        <v>6</v>
      </c>
      <c r="V134" s="404">
        <v>2</v>
      </c>
      <c r="W134" s="404">
        <v>11</v>
      </c>
      <c r="X134" s="404">
        <v>4</v>
      </c>
      <c r="Y134" s="404" t="s">
        <v>1048</v>
      </c>
    </row>
    <row r="135" spans="3:25" x14ac:dyDescent="0.25">
      <c r="C135" s="68" t="str">
        <f>'G-1 All Habitats'!B134</f>
        <v>Watercourse footprint - Watercourse footprint</v>
      </c>
      <c r="D135" s="404" t="s">
        <v>1048</v>
      </c>
      <c r="E135" s="404" t="s">
        <v>1048</v>
      </c>
      <c r="F135" s="404" t="s">
        <v>1048</v>
      </c>
      <c r="G135" s="404" t="s">
        <v>1048</v>
      </c>
      <c r="H135" s="404" t="s">
        <v>1048</v>
      </c>
      <c r="I135" s="404" t="s">
        <v>1048</v>
      </c>
      <c r="J135" s="404" t="s">
        <v>1048</v>
      </c>
      <c r="K135" s="404" t="s">
        <v>1048</v>
      </c>
      <c r="L135" s="404" t="s">
        <v>1048</v>
      </c>
      <c r="M135" s="404" t="s">
        <v>1048</v>
      </c>
      <c r="N135" s="404" t="s">
        <v>1048</v>
      </c>
      <c r="O135" s="404" t="s">
        <v>1048</v>
      </c>
      <c r="P135" s="404" t="s">
        <v>1048</v>
      </c>
      <c r="Q135" s="404" t="s">
        <v>1048</v>
      </c>
      <c r="R135" s="404" t="s">
        <v>1048</v>
      </c>
      <c r="S135" s="404" t="s">
        <v>1048</v>
      </c>
      <c r="T135" s="404" t="s">
        <v>1048</v>
      </c>
      <c r="U135" s="404" t="s">
        <v>1048</v>
      </c>
      <c r="V135" s="404" t="s">
        <v>1048</v>
      </c>
      <c r="W135" s="404" t="s">
        <v>1048</v>
      </c>
      <c r="X135" s="404" t="s">
        <v>1048</v>
      </c>
      <c r="Y135" s="404" t="s">
        <v>1048</v>
      </c>
    </row>
    <row r="136" spans="3:25" x14ac:dyDescent="0.25">
      <c r="C136" s="68" t="str">
        <f>'G-1 All Habitats'!B81</f>
        <v>Individual trees - Rural tree</v>
      </c>
      <c r="D136" s="404" t="s">
        <v>1048</v>
      </c>
      <c r="E136" s="404" t="s">
        <v>1048</v>
      </c>
      <c r="F136" s="404" t="s">
        <v>1048</v>
      </c>
      <c r="G136" s="404" t="s">
        <v>1048</v>
      </c>
      <c r="H136" s="404" t="s">
        <v>1048</v>
      </c>
      <c r="I136" s="404" t="s">
        <v>1048</v>
      </c>
      <c r="J136" s="404" t="s">
        <v>1048</v>
      </c>
      <c r="K136" s="404" t="s">
        <v>1048</v>
      </c>
      <c r="L136" s="404" t="s">
        <v>1048</v>
      </c>
      <c r="M136" s="404" t="s">
        <v>1048</v>
      </c>
      <c r="N136" s="404" t="s">
        <v>1048</v>
      </c>
      <c r="O136" s="404">
        <v>8</v>
      </c>
      <c r="P136" s="404">
        <v>16</v>
      </c>
      <c r="Q136" s="404">
        <v>24</v>
      </c>
      <c r="R136" s="404" t="s">
        <v>1049</v>
      </c>
      <c r="S136" s="404">
        <v>8</v>
      </c>
      <c r="T136" s="404">
        <v>16</v>
      </c>
      <c r="U136" s="404">
        <v>24</v>
      </c>
      <c r="V136" s="404">
        <v>8</v>
      </c>
      <c r="W136" s="404">
        <v>16</v>
      </c>
      <c r="X136" s="404">
        <v>8</v>
      </c>
      <c r="Y136" s="404" t="s">
        <v>1048</v>
      </c>
    </row>
    <row r="147" x14ac:dyDescent="0.25"/>
    <row r="273" x14ac:dyDescent="0.25"/>
    <row r="274" x14ac:dyDescent="0.25"/>
    <row r="275"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rgb="FFFFC000"/>
  </sheetPr>
  <dimension ref="A1:BW20"/>
  <sheetViews>
    <sheetView showGridLines="0" zoomScale="80" zoomScaleNormal="80" workbookViewId="0">
      <selection sqref="A1:B1"/>
    </sheetView>
  </sheetViews>
  <sheetFormatPr defaultColWidth="0" defaultRowHeight="13.8" zeroHeight="1" x14ac:dyDescent="0.25"/>
  <cols>
    <col min="1" max="1" width="8.21875" style="30" customWidth="1"/>
    <col min="2" max="2" width="66.44140625" style="30" bestFit="1" customWidth="1"/>
    <col min="3" max="4" width="17.21875" style="30" customWidth="1"/>
    <col min="5" max="5" width="10.21875" style="30" customWidth="1"/>
    <col min="6" max="6" width="9.5546875" style="30" hidden="1" customWidth="1"/>
    <col min="7" max="7" width="12.21875" style="30" customWidth="1"/>
    <col min="8" max="8" width="10" style="30" hidden="1" customWidth="1"/>
    <col min="9" max="9" width="10.21875" style="30" customWidth="1"/>
    <col min="10" max="10" width="8.21875" style="30" hidden="1" customWidth="1"/>
    <col min="11" max="11" width="12.21875" style="30" customWidth="1"/>
    <col min="12" max="12" width="7.77734375" style="30" hidden="1" customWidth="1"/>
    <col min="13" max="13" width="10.77734375" style="30" customWidth="1"/>
    <col min="14" max="14" width="10.5546875" style="30" hidden="1" customWidth="1"/>
    <col min="15" max="15" width="10.77734375" style="30" hidden="1" customWidth="1"/>
    <col min="16" max="16" width="4.21875" style="30" hidden="1" customWidth="1"/>
    <col min="17" max="17" width="12.5546875" style="157" customWidth="1"/>
    <col min="18" max="18" width="4.21875" style="30" hidden="1" customWidth="1"/>
    <col min="19" max="19" width="8.21875" style="30" customWidth="1"/>
    <col min="20" max="31" width="5.21875" style="30" bestFit="1" customWidth="1"/>
    <col min="32" max="32" width="12.77734375" style="30" customWidth="1"/>
    <col min="33" max="33" width="15.77734375" style="30" customWidth="1"/>
    <col min="34" max="34" width="32.21875" style="30" customWidth="1"/>
    <col min="35" max="35" width="8.77734375" style="30" customWidth="1"/>
    <col min="36" max="37" width="14" style="30" customWidth="1"/>
    <col min="38" max="38" width="8.77734375" style="30" customWidth="1"/>
    <col min="39" max="39" width="66.44140625" style="30" bestFit="1" customWidth="1"/>
    <col min="40" max="40" width="14.5546875" style="30" bestFit="1" customWidth="1"/>
    <col min="41" max="52" width="16.77734375" style="30" bestFit="1" customWidth="1"/>
    <col min="53" max="56" width="8.77734375" style="30" customWidth="1"/>
    <col min="57" max="61" width="8.77734375" style="30" hidden="1" customWidth="1"/>
    <col min="62" max="62" width="12.44140625" style="142" hidden="1" customWidth="1"/>
    <col min="63" max="64" width="12" style="30" hidden="1" customWidth="1"/>
    <col min="65" max="75" width="0" style="30" hidden="1" customWidth="1"/>
    <col min="76" max="16384" width="8.77734375" style="30" hidden="1"/>
  </cols>
  <sheetData>
    <row r="1" spans="1:64" ht="66.75" customHeight="1" thickBot="1" x14ac:dyDescent="0.4">
      <c r="A1" s="1651"/>
      <c r="B1" s="1659"/>
      <c r="C1" s="1656" t="s">
        <v>269</v>
      </c>
      <c r="D1" s="1657"/>
      <c r="E1" s="1660" t="s">
        <v>1076</v>
      </c>
      <c r="F1" s="1661"/>
      <c r="G1" s="1661"/>
      <c r="H1" s="1661"/>
      <c r="I1" s="1662"/>
      <c r="J1" s="1660" t="s">
        <v>1077</v>
      </c>
      <c r="K1" s="1661"/>
      <c r="L1" s="1661"/>
      <c r="M1" s="1661"/>
      <c r="N1" s="1661"/>
      <c r="O1" s="1661"/>
      <c r="P1" s="1661"/>
      <c r="Q1" s="1661"/>
      <c r="R1" s="1662"/>
      <c r="S1" s="1660" t="s">
        <v>1078</v>
      </c>
      <c r="T1" s="1661"/>
      <c r="U1" s="1661"/>
      <c r="V1" s="1661"/>
      <c r="W1" s="1661"/>
      <c r="X1" s="1661"/>
      <c r="Y1" s="1661"/>
      <c r="Z1" s="1661"/>
      <c r="AA1" s="1661"/>
      <c r="AB1" s="1661"/>
      <c r="AC1" s="1661"/>
      <c r="AD1" s="1661"/>
      <c r="AE1" s="1662"/>
      <c r="AF1" s="1656" t="s">
        <v>379</v>
      </c>
      <c r="AG1" s="1657"/>
      <c r="AH1" s="1520" t="s">
        <v>1079</v>
      </c>
      <c r="AJ1" s="1656" t="s">
        <v>357</v>
      </c>
      <c r="AK1" s="1657"/>
      <c r="AM1" s="141" t="s">
        <v>1080</v>
      </c>
      <c r="AN1" s="1658" t="s">
        <v>1081</v>
      </c>
      <c r="AO1" s="1658"/>
      <c r="AP1" s="1658"/>
      <c r="AQ1" s="1658"/>
      <c r="AR1" s="1658"/>
      <c r="AS1" s="1658"/>
      <c r="AT1" s="1658"/>
      <c r="AU1" s="1658"/>
      <c r="AV1" s="1658"/>
      <c r="AW1" s="1658"/>
      <c r="AX1" s="1658"/>
      <c r="AY1" s="1658"/>
      <c r="AZ1" s="1658"/>
      <c r="BK1" s="1654" t="s">
        <v>1082</v>
      </c>
      <c r="BL1" s="1655"/>
    </row>
    <row r="2" spans="1:64" ht="182.25" customHeight="1" thickBot="1" x14ac:dyDescent="0.3">
      <c r="B2" s="143" t="s">
        <v>933</v>
      </c>
      <c r="C2" s="140" t="s">
        <v>448</v>
      </c>
      <c r="D2" s="144" t="s">
        <v>449</v>
      </c>
      <c r="E2" s="140" t="s">
        <v>328</v>
      </c>
      <c r="F2" s="145"/>
      <c r="G2" s="145" t="s">
        <v>67</v>
      </c>
      <c r="H2" s="145"/>
      <c r="I2" s="144" t="s">
        <v>68</v>
      </c>
      <c r="J2" s="140"/>
      <c r="K2" s="145" t="s">
        <v>1066</v>
      </c>
      <c r="L2" s="145"/>
      <c r="M2" s="145" t="s">
        <v>1068</v>
      </c>
      <c r="N2" s="145"/>
      <c r="O2" s="145"/>
      <c r="P2" s="145"/>
      <c r="Q2" s="144" t="s">
        <v>1073</v>
      </c>
      <c r="R2" s="146"/>
      <c r="S2" s="147" t="s">
        <v>167</v>
      </c>
      <c r="T2" s="148" t="s">
        <v>168</v>
      </c>
      <c r="U2" s="148" t="s">
        <v>169</v>
      </c>
      <c r="V2" s="148" t="s">
        <v>170</v>
      </c>
      <c r="W2" s="148" t="s">
        <v>171</v>
      </c>
      <c r="X2" s="148" t="s">
        <v>172</v>
      </c>
      <c r="Y2" s="148" t="s">
        <v>173</v>
      </c>
      <c r="Z2" s="148" t="s">
        <v>174</v>
      </c>
      <c r="AA2" s="148" t="s">
        <v>175</v>
      </c>
      <c r="AB2" s="148" t="s">
        <v>176</v>
      </c>
      <c r="AC2" s="148" t="s">
        <v>177</v>
      </c>
      <c r="AD2" s="148" t="s">
        <v>1083</v>
      </c>
      <c r="AE2" s="148" t="s">
        <v>179</v>
      </c>
      <c r="AF2" s="140" t="s">
        <v>451</v>
      </c>
      <c r="AG2" s="144" t="s">
        <v>452</v>
      </c>
      <c r="AH2" s="1581"/>
      <c r="AJ2" s="140" t="s">
        <v>1084</v>
      </c>
      <c r="AK2" s="144" t="s">
        <v>1085</v>
      </c>
      <c r="AM2" s="149" t="s">
        <v>1086</v>
      </c>
      <c r="AN2" s="132" t="s">
        <v>167</v>
      </c>
      <c r="AO2" s="132" t="s">
        <v>168</v>
      </c>
      <c r="AP2" s="132" t="s">
        <v>169</v>
      </c>
      <c r="AQ2" s="132" t="s">
        <v>170</v>
      </c>
      <c r="AR2" s="132" t="s">
        <v>171</v>
      </c>
      <c r="AS2" s="132" t="s">
        <v>172</v>
      </c>
      <c r="AT2" s="132" t="s">
        <v>173</v>
      </c>
      <c r="AU2" s="132" t="s">
        <v>174</v>
      </c>
      <c r="AV2" s="132" t="s">
        <v>175</v>
      </c>
      <c r="AW2" s="132" t="s">
        <v>176</v>
      </c>
      <c r="AX2" s="132" t="s">
        <v>177</v>
      </c>
      <c r="AY2" s="132" t="s">
        <v>1083</v>
      </c>
      <c r="AZ2" s="132" t="s">
        <v>179</v>
      </c>
      <c r="BK2" s="69" t="s">
        <v>1087</v>
      </c>
      <c r="BL2" s="69" t="s">
        <v>1088</v>
      </c>
    </row>
    <row r="3" spans="1:64" ht="30.75" customHeight="1" thickBot="1" x14ac:dyDescent="0.3">
      <c r="A3" s="150"/>
      <c r="B3" s="480" t="s">
        <v>167</v>
      </c>
      <c r="C3" s="443" t="s">
        <v>467</v>
      </c>
      <c r="D3" s="444">
        <v>8</v>
      </c>
      <c r="E3" s="445">
        <v>1</v>
      </c>
      <c r="F3" s="446"/>
      <c r="G3" s="446">
        <v>10</v>
      </c>
      <c r="H3" s="446"/>
      <c r="I3" s="444">
        <v>20</v>
      </c>
      <c r="J3" s="445"/>
      <c r="K3" s="446">
        <v>6</v>
      </c>
      <c r="L3" s="446"/>
      <c r="M3" s="446">
        <v>10</v>
      </c>
      <c r="N3" s="446"/>
      <c r="O3" s="446"/>
      <c r="P3" s="446"/>
      <c r="Q3" s="444">
        <v>4</v>
      </c>
      <c r="R3" s="447"/>
      <c r="S3" s="448" t="s">
        <v>1089</v>
      </c>
      <c r="T3" s="449" t="s">
        <v>1089</v>
      </c>
      <c r="U3" s="449" t="s">
        <v>1089</v>
      </c>
      <c r="V3" s="449" t="s">
        <v>1089</v>
      </c>
      <c r="W3" s="449" t="s">
        <v>1089</v>
      </c>
      <c r="X3" s="449" t="s">
        <v>1089</v>
      </c>
      <c r="Y3" s="449" t="s">
        <v>1089</v>
      </c>
      <c r="Z3" s="449" t="s">
        <v>1089</v>
      </c>
      <c r="AA3" s="449" t="s">
        <v>1089</v>
      </c>
      <c r="AB3" s="449" t="s">
        <v>1089</v>
      </c>
      <c r="AC3" s="449" t="s">
        <v>1089</v>
      </c>
      <c r="AD3" s="449" t="s">
        <v>1089</v>
      </c>
      <c r="AE3" s="450" t="s">
        <v>1089</v>
      </c>
      <c r="AF3" s="451" t="s">
        <v>216</v>
      </c>
      <c r="AG3" s="452" t="s">
        <v>216</v>
      </c>
      <c r="AH3" s="453" t="s">
        <v>1090</v>
      </c>
      <c r="AJ3" s="152" t="s">
        <v>68</v>
      </c>
      <c r="AK3" s="461">
        <v>3</v>
      </c>
      <c r="AM3" s="151" t="s">
        <v>167</v>
      </c>
      <c r="AN3" s="449" t="s">
        <v>1091</v>
      </c>
      <c r="AO3" s="464" t="s">
        <v>1092</v>
      </c>
      <c r="AP3" s="449" t="s">
        <v>1092</v>
      </c>
      <c r="AQ3" s="449" t="s">
        <v>1092</v>
      </c>
      <c r="AR3" s="449" t="s">
        <v>1092</v>
      </c>
      <c r="AS3" s="449" t="s">
        <v>1092</v>
      </c>
      <c r="AT3" s="449" t="s">
        <v>1092</v>
      </c>
      <c r="AU3" s="449" t="s">
        <v>1092</v>
      </c>
      <c r="AV3" s="449" t="s">
        <v>1092</v>
      </c>
      <c r="AW3" s="449" t="s">
        <v>1092</v>
      </c>
      <c r="AX3" s="449" t="s">
        <v>1092</v>
      </c>
      <c r="AY3" s="449" t="s">
        <v>1092</v>
      </c>
      <c r="AZ3" s="449" t="s">
        <v>1092</v>
      </c>
      <c r="BJ3" s="142" t="s">
        <v>1087</v>
      </c>
      <c r="BK3" s="153" t="s">
        <v>68</v>
      </c>
      <c r="BL3" s="153" t="s">
        <v>328</v>
      </c>
    </row>
    <row r="4" spans="1:64" ht="30.75" customHeight="1" thickBot="1" x14ac:dyDescent="0.3">
      <c r="A4" s="150"/>
      <c r="B4" s="481" t="s">
        <v>168</v>
      </c>
      <c r="C4" s="398" t="s">
        <v>213</v>
      </c>
      <c r="D4" s="452">
        <v>6</v>
      </c>
      <c r="E4" s="451">
        <v>1</v>
      </c>
      <c r="F4" s="404"/>
      <c r="G4" s="404">
        <v>10</v>
      </c>
      <c r="H4" s="404"/>
      <c r="I4" s="452">
        <v>20</v>
      </c>
      <c r="J4" s="451"/>
      <c r="K4" s="404">
        <v>6</v>
      </c>
      <c r="L4" s="404"/>
      <c r="M4" s="404">
        <v>10</v>
      </c>
      <c r="N4" s="404"/>
      <c r="O4" s="404"/>
      <c r="P4" s="404"/>
      <c r="Q4" s="452">
        <v>4</v>
      </c>
      <c r="R4" s="454"/>
      <c r="S4" s="451">
        <v>5</v>
      </c>
      <c r="T4" s="449" t="s">
        <v>1089</v>
      </c>
      <c r="U4" s="449" t="s">
        <v>1089</v>
      </c>
      <c r="V4" s="449" t="s">
        <v>1089</v>
      </c>
      <c r="W4" s="449" t="s">
        <v>1089</v>
      </c>
      <c r="X4" s="449" t="s">
        <v>1089</v>
      </c>
      <c r="Y4" s="449" t="s">
        <v>1089</v>
      </c>
      <c r="Z4" s="449" t="s">
        <v>1089</v>
      </c>
      <c r="AA4" s="449" t="s">
        <v>1089</v>
      </c>
      <c r="AB4" s="449" t="s">
        <v>1089</v>
      </c>
      <c r="AC4" s="449" t="s">
        <v>1089</v>
      </c>
      <c r="AD4" s="449" t="s">
        <v>1089</v>
      </c>
      <c r="AE4" s="450" t="s">
        <v>1089</v>
      </c>
      <c r="AF4" s="451" t="s">
        <v>216</v>
      </c>
      <c r="AG4" s="452" t="s">
        <v>216</v>
      </c>
      <c r="AH4" s="455" t="s">
        <v>241</v>
      </c>
      <c r="AJ4" s="67" t="s">
        <v>67</v>
      </c>
      <c r="AK4" s="462">
        <v>2</v>
      </c>
      <c r="AM4" s="151" t="s">
        <v>168</v>
      </c>
      <c r="AN4" s="449" t="s">
        <v>1093</v>
      </c>
      <c r="AO4" s="464" t="s">
        <v>1094</v>
      </c>
      <c r="AP4" s="449" t="s">
        <v>1094</v>
      </c>
      <c r="AQ4" s="449" t="s">
        <v>1094</v>
      </c>
      <c r="AR4" s="449" t="s">
        <v>1092</v>
      </c>
      <c r="AS4" s="449" t="s">
        <v>1092</v>
      </c>
      <c r="AT4" s="449" t="s">
        <v>1092</v>
      </c>
      <c r="AU4" s="449" t="s">
        <v>1092</v>
      </c>
      <c r="AV4" s="449" t="s">
        <v>1092</v>
      </c>
      <c r="AW4" s="449" t="s">
        <v>1092</v>
      </c>
      <c r="AX4" s="449" t="s">
        <v>1092</v>
      </c>
      <c r="AY4" s="449" t="s">
        <v>1092</v>
      </c>
      <c r="AZ4" s="449" t="s">
        <v>1092</v>
      </c>
      <c r="BJ4" s="142" t="s">
        <v>1087</v>
      </c>
      <c r="BK4" s="153" t="s">
        <v>67</v>
      </c>
    </row>
    <row r="5" spans="1:64" ht="30.75" customHeight="1" thickBot="1" x14ac:dyDescent="0.3">
      <c r="A5" s="150"/>
      <c r="B5" s="481" t="s">
        <v>169</v>
      </c>
      <c r="C5" s="398" t="s">
        <v>213</v>
      </c>
      <c r="D5" s="452">
        <v>6</v>
      </c>
      <c r="E5" s="451">
        <v>1</v>
      </c>
      <c r="F5" s="404"/>
      <c r="G5" s="404">
        <v>5</v>
      </c>
      <c r="H5" s="404"/>
      <c r="I5" s="452">
        <v>12</v>
      </c>
      <c r="J5" s="451"/>
      <c r="K5" s="404">
        <v>3</v>
      </c>
      <c r="L5" s="404"/>
      <c r="M5" s="404">
        <v>5</v>
      </c>
      <c r="N5" s="404"/>
      <c r="O5" s="404"/>
      <c r="P5" s="404"/>
      <c r="Q5" s="452">
        <v>2</v>
      </c>
      <c r="R5" s="454"/>
      <c r="S5" s="451">
        <v>10</v>
      </c>
      <c r="T5" s="449" t="s">
        <v>1089</v>
      </c>
      <c r="U5" s="449" t="s">
        <v>1089</v>
      </c>
      <c r="V5" s="449" t="s">
        <v>1089</v>
      </c>
      <c r="W5" s="449" t="s">
        <v>1089</v>
      </c>
      <c r="X5" s="449" t="s">
        <v>1089</v>
      </c>
      <c r="Y5" s="449" t="s">
        <v>1089</v>
      </c>
      <c r="Z5" s="449" t="s">
        <v>1089</v>
      </c>
      <c r="AA5" s="449" t="s">
        <v>1089</v>
      </c>
      <c r="AB5" s="449" t="s">
        <v>1089</v>
      </c>
      <c r="AC5" s="449" t="s">
        <v>1089</v>
      </c>
      <c r="AD5" s="449" t="s">
        <v>1089</v>
      </c>
      <c r="AE5" s="450" t="s">
        <v>1089</v>
      </c>
      <c r="AF5" s="451" t="s">
        <v>216</v>
      </c>
      <c r="AG5" s="452" t="s">
        <v>216</v>
      </c>
      <c r="AH5" s="455" t="s">
        <v>241</v>
      </c>
      <c r="AJ5" s="69" t="s">
        <v>328</v>
      </c>
      <c r="AK5" s="463">
        <v>1</v>
      </c>
      <c r="AM5" s="151" t="s">
        <v>169</v>
      </c>
      <c r="AN5" s="449" t="s">
        <v>1093</v>
      </c>
      <c r="AO5" s="464" t="s">
        <v>1094</v>
      </c>
      <c r="AP5" s="449" t="s">
        <v>1094</v>
      </c>
      <c r="AQ5" s="449" t="s">
        <v>1094</v>
      </c>
      <c r="AR5" s="449" t="s">
        <v>1092</v>
      </c>
      <c r="AS5" s="449" t="s">
        <v>1092</v>
      </c>
      <c r="AT5" s="449" t="s">
        <v>1092</v>
      </c>
      <c r="AU5" s="449" t="s">
        <v>1092</v>
      </c>
      <c r="AV5" s="449" t="s">
        <v>1092</v>
      </c>
      <c r="AW5" s="449" t="s">
        <v>1092</v>
      </c>
      <c r="AX5" s="449" t="s">
        <v>1092</v>
      </c>
      <c r="AY5" s="449" t="s">
        <v>1092</v>
      </c>
      <c r="AZ5" s="449" t="s">
        <v>1092</v>
      </c>
      <c r="BJ5" s="142" t="s">
        <v>1087</v>
      </c>
      <c r="BK5" s="153" t="s">
        <v>328</v>
      </c>
    </row>
    <row r="6" spans="1:64" ht="30.75" customHeight="1" thickBot="1" x14ac:dyDescent="0.3">
      <c r="A6" s="150"/>
      <c r="B6" s="481" t="s">
        <v>170</v>
      </c>
      <c r="C6" s="398" t="s">
        <v>213</v>
      </c>
      <c r="D6" s="452">
        <v>6</v>
      </c>
      <c r="E6" s="451">
        <v>1</v>
      </c>
      <c r="F6" s="404"/>
      <c r="G6" s="404">
        <v>10</v>
      </c>
      <c r="H6" s="404"/>
      <c r="I6" s="452">
        <v>20</v>
      </c>
      <c r="J6" s="451"/>
      <c r="K6" s="404">
        <v>6</v>
      </c>
      <c r="L6" s="404"/>
      <c r="M6" s="404">
        <v>10</v>
      </c>
      <c r="N6" s="404"/>
      <c r="O6" s="404"/>
      <c r="P6" s="404"/>
      <c r="Q6" s="452">
        <v>4</v>
      </c>
      <c r="R6" s="454"/>
      <c r="S6" s="451">
        <v>5</v>
      </c>
      <c r="T6" s="449" t="s">
        <v>1089</v>
      </c>
      <c r="U6" s="449" t="s">
        <v>1089</v>
      </c>
      <c r="V6" s="449" t="s">
        <v>1089</v>
      </c>
      <c r="W6" s="449" t="s">
        <v>1089</v>
      </c>
      <c r="X6" s="449" t="s">
        <v>1089</v>
      </c>
      <c r="Y6" s="449" t="s">
        <v>1089</v>
      </c>
      <c r="Z6" s="449" t="s">
        <v>1089</v>
      </c>
      <c r="AA6" s="449" t="s">
        <v>1089</v>
      </c>
      <c r="AB6" s="449" t="s">
        <v>1089</v>
      </c>
      <c r="AC6" s="449" t="s">
        <v>1089</v>
      </c>
      <c r="AD6" s="449" t="s">
        <v>1089</v>
      </c>
      <c r="AE6" s="450" t="s">
        <v>1089</v>
      </c>
      <c r="AF6" s="451" t="s">
        <v>216</v>
      </c>
      <c r="AG6" s="452" t="s">
        <v>216</v>
      </c>
      <c r="AH6" s="455" t="s">
        <v>241</v>
      </c>
      <c r="AM6" s="151" t="s">
        <v>170</v>
      </c>
      <c r="AN6" s="464" t="s">
        <v>1093</v>
      </c>
      <c r="AO6" s="464" t="s">
        <v>1094</v>
      </c>
      <c r="AP6" s="464" t="s">
        <v>1094</v>
      </c>
      <c r="AQ6" s="464" t="s">
        <v>1094</v>
      </c>
      <c r="AR6" s="464" t="s">
        <v>1092</v>
      </c>
      <c r="AS6" s="464" t="s">
        <v>1092</v>
      </c>
      <c r="AT6" s="464" t="s">
        <v>1092</v>
      </c>
      <c r="AU6" s="464" t="s">
        <v>1092</v>
      </c>
      <c r="AV6" s="464" t="s">
        <v>1092</v>
      </c>
      <c r="AW6" s="464" t="s">
        <v>1092</v>
      </c>
      <c r="AX6" s="464" t="s">
        <v>1092</v>
      </c>
      <c r="AY6" s="464" t="s">
        <v>1092</v>
      </c>
      <c r="AZ6" s="464" t="s">
        <v>1092</v>
      </c>
      <c r="BJ6" s="142" t="s">
        <v>1087</v>
      </c>
    </row>
    <row r="7" spans="1:64" ht="42" thickBot="1" x14ac:dyDescent="0.3">
      <c r="A7" s="150"/>
      <c r="B7" s="481" t="s">
        <v>171</v>
      </c>
      <c r="C7" s="398" t="s">
        <v>70</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1089</v>
      </c>
      <c r="X7" s="449" t="s">
        <v>1089</v>
      </c>
      <c r="Y7" s="449" t="s">
        <v>1089</v>
      </c>
      <c r="Z7" s="449" t="s">
        <v>1089</v>
      </c>
      <c r="AA7" s="449" t="s">
        <v>1089</v>
      </c>
      <c r="AB7" s="449" t="s">
        <v>1089</v>
      </c>
      <c r="AC7" s="449" t="s">
        <v>1089</v>
      </c>
      <c r="AD7" s="449" t="s">
        <v>1089</v>
      </c>
      <c r="AE7" s="450" t="s">
        <v>1089</v>
      </c>
      <c r="AF7" s="451" t="s">
        <v>216</v>
      </c>
      <c r="AG7" s="452" t="s">
        <v>216</v>
      </c>
      <c r="AH7" s="455" t="s">
        <v>1095</v>
      </c>
      <c r="AM7" s="151" t="s">
        <v>171</v>
      </c>
      <c r="AN7" s="464" t="s">
        <v>1096</v>
      </c>
      <c r="AO7" s="382" t="s">
        <v>1097</v>
      </c>
      <c r="AP7" s="382" t="s">
        <v>1097</v>
      </c>
      <c r="AQ7" s="382" t="s">
        <v>1097</v>
      </c>
      <c r="AR7" s="382" t="s">
        <v>1098</v>
      </c>
      <c r="AS7" s="382" t="s">
        <v>1098</v>
      </c>
      <c r="AT7" s="382" t="s">
        <v>1098</v>
      </c>
      <c r="AU7" s="382" t="s">
        <v>1099</v>
      </c>
      <c r="AV7" s="382" t="s">
        <v>1099</v>
      </c>
      <c r="AW7" s="464" t="s">
        <v>1092</v>
      </c>
      <c r="AX7" s="464" t="s">
        <v>1092</v>
      </c>
      <c r="AY7" s="464" t="s">
        <v>1092</v>
      </c>
      <c r="AZ7" s="464" t="s">
        <v>1092</v>
      </c>
      <c r="BJ7" s="142" t="s">
        <v>1087</v>
      </c>
    </row>
    <row r="8" spans="1:64" ht="42" thickBot="1" x14ac:dyDescent="0.3">
      <c r="A8" s="150"/>
      <c r="B8" s="481" t="s">
        <v>172</v>
      </c>
      <c r="C8" s="398" t="s">
        <v>70</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1089</v>
      </c>
      <c r="X8" s="449" t="s">
        <v>1089</v>
      </c>
      <c r="Y8" s="449" t="s">
        <v>1089</v>
      </c>
      <c r="Z8" s="449" t="s">
        <v>1089</v>
      </c>
      <c r="AA8" s="449" t="s">
        <v>1089</v>
      </c>
      <c r="AB8" s="449" t="s">
        <v>1089</v>
      </c>
      <c r="AC8" s="449" t="s">
        <v>1089</v>
      </c>
      <c r="AD8" s="449" t="s">
        <v>1089</v>
      </c>
      <c r="AE8" s="450" t="s">
        <v>1089</v>
      </c>
      <c r="AF8" s="451" t="s">
        <v>216</v>
      </c>
      <c r="AG8" s="452" t="s">
        <v>216</v>
      </c>
      <c r="AH8" s="455" t="s">
        <v>1095</v>
      </c>
      <c r="AM8" s="151" t="s">
        <v>172</v>
      </c>
      <c r="AN8" s="464" t="s">
        <v>1096</v>
      </c>
      <c r="AO8" s="382" t="s">
        <v>1097</v>
      </c>
      <c r="AP8" s="382" t="s">
        <v>1097</v>
      </c>
      <c r="AQ8" s="382" t="s">
        <v>1097</v>
      </c>
      <c r="AR8" s="382" t="s">
        <v>1098</v>
      </c>
      <c r="AS8" s="382" t="s">
        <v>1098</v>
      </c>
      <c r="AT8" s="382" t="s">
        <v>1098</v>
      </c>
      <c r="AU8" s="382" t="s">
        <v>1099</v>
      </c>
      <c r="AV8" s="382" t="s">
        <v>1099</v>
      </c>
      <c r="AW8" s="464" t="s">
        <v>1092</v>
      </c>
      <c r="AX8" s="464" t="s">
        <v>1092</v>
      </c>
      <c r="AY8" s="464" t="s">
        <v>1092</v>
      </c>
      <c r="AZ8" s="464" t="s">
        <v>1092</v>
      </c>
      <c r="BJ8" s="142" t="s">
        <v>1087</v>
      </c>
    </row>
    <row r="9" spans="1:64" ht="28.2" thickBot="1" x14ac:dyDescent="0.3">
      <c r="B9" s="481" t="s">
        <v>173</v>
      </c>
      <c r="C9" s="398" t="s">
        <v>70</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1089</v>
      </c>
      <c r="X9" s="449" t="s">
        <v>1089</v>
      </c>
      <c r="Y9" s="449" t="s">
        <v>1089</v>
      </c>
      <c r="Z9" s="449" t="s">
        <v>1089</v>
      </c>
      <c r="AA9" s="449" t="s">
        <v>1089</v>
      </c>
      <c r="AB9" s="449" t="s">
        <v>1089</v>
      </c>
      <c r="AC9" s="449" t="s">
        <v>1089</v>
      </c>
      <c r="AD9" s="449" t="s">
        <v>1089</v>
      </c>
      <c r="AE9" s="450" t="s">
        <v>1089</v>
      </c>
      <c r="AF9" s="451" t="s">
        <v>216</v>
      </c>
      <c r="AG9" s="452" t="s">
        <v>216</v>
      </c>
      <c r="AH9" s="455" t="s">
        <v>1095</v>
      </c>
      <c r="AM9" s="151" t="s">
        <v>173</v>
      </c>
      <c r="AN9" s="464" t="s">
        <v>1096</v>
      </c>
      <c r="AO9" s="382" t="s">
        <v>1097</v>
      </c>
      <c r="AP9" s="382" t="s">
        <v>1097</v>
      </c>
      <c r="AQ9" s="382" t="s">
        <v>1097</v>
      </c>
      <c r="AR9" s="382" t="s">
        <v>1098</v>
      </c>
      <c r="AS9" s="382" t="s">
        <v>1098</v>
      </c>
      <c r="AT9" s="382" t="s">
        <v>1098</v>
      </c>
      <c r="AU9" s="382" t="s">
        <v>1098</v>
      </c>
      <c r="AV9" s="382" t="s">
        <v>1098</v>
      </c>
      <c r="AW9" s="464" t="s">
        <v>1092</v>
      </c>
      <c r="AX9" s="464" t="s">
        <v>1092</v>
      </c>
      <c r="AY9" s="464" t="s">
        <v>1092</v>
      </c>
      <c r="AZ9" s="464" t="s">
        <v>1092</v>
      </c>
      <c r="BJ9" s="142" t="s">
        <v>1087</v>
      </c>
    </row>
    <row r="10" spans="1:64" ht="42" thickBot="1" x14ac:dyDescent="0.3">
      <c r="B10" s="481" t="s">
        <v>174</v>
      </c>
      <c r="C10" s="398" t="s">
        <v>70</v>
      </c>
      <c r="D10" s="452">
        <v>4</v>
      </c>
      <c r="E10" s="451">
        <v>5</v>
      </c>
      <c r="F10" s="404"/>
      <c r="G10" s="404">
        <v>20</v>
      </c>
      <c r="H10" s="404"/>
      <c r="I10" s="452" t="s">
        <v>1049</v>
      </c>
      <c r="J10" s="451"/>
      <c r="K10" s="404">
        <v>20</v>
      </c>
      <c r="L10" s="404"/>
      <c r="M10" s="404">
        <v>30</v>
      </c>
      <c r="N10" s="404"/>
      <c r="O10" s="404"/>
      <c r="P10" s="404"/>
      <c r="Q10" s="452">
        <v>10</v>
      </c>
      <c r="R10" s="454"/>
      <c r="S10" s="451">
        <v>12</v>
      </c>
      <c r="T10" s="404">
        <v>12</v>
      </c>
      <c r="U10" s="449" t="s">
        <v>1089</v>
      </c>
      <c r="V10" s="404">
        <v>12</v>
      </c>
      <c r="W10" s="449" t="s">
        <v>1089</v>
      </c>
      <c r="X10" s="449" t="s">
        <v>1089</v>
      </c>
      <c r="Y10" s="449" t="s">
        <v>1089</v>
      </c>
      <c r="Z10" s="449" t="s">
        <v>1089</v>
      </c>
      <c r="AA10" s="449" t="s">
        <v>1089</v>
      </c>
      <c r="AB10" s="449" t="s">
        <v>1089</v>
      </c>
      <c r="AC10" s="449" t="s">
        <v>1089</v>
      </c>
      <c r="AD10" s="449" t="s">
        <v>1089</v>
      </c>
      <c r="AE10" s="450" t="s">
        <v>1089</v>
      </c>
      <c r="AF10" s="451" t="s">
        <v>216</v>
      </c>
      <c r="AG10" s="452" t="s">
        <v>216</v>
      </c>
      <c r="AH10" s="455" t="s">
        <v>1095</v>
      </c>
      <c r="AM10" s="151" t="s">
        <v>174</v>
      </c>
      <c r="AN10" s="464" t="s">
        <v>1096</v>
      </c>
      <c r="AO10" s="382" t="s">
        <v>1097</v>
      </c>
      <c r="AP10" s="382" t="s">
        <v>1099</v>
      </c>
      <c r="AQ10" s="382" t="s">
        <v>1097</v>
      </c>
      <c r="AR10" s="382" t="s">
        <v>1099</v>
      </c>
      <c r="AS10" s="382" t="s">
        <v>1099</v>
      </c>
      <c r="AT10" s="382" t="s">
        <v>1098</v>
      </c>
      <c r="AU10" s="382" t="s">
        <v>1098</v>
      </c>
      <c r="AV10" s="382" t="s">
        <v>1098</v>
      </c>
      <c r="AW10" s="464" t="s">
        <v>1092</v>
      </c>
      <c r="AX10" s="464" t="s">
        <v>1092</v>
      </c>
      <c r="AY10" s="464" t="s">
        <v>1092</v>
      </c>
      <c r="AZ10" s="464" t="s">
        <v>1092</v>
      </c>
      <c r="BJ10" s="142" t="s">
        <v>1087</v>
      </c>
    </row>
    <row r="11" spans="1:64" ht="42" thickBot="1" x14ac:dyDescent="0.3">
      <c r="B11" s="481" t="s">
        <v>175</v>
      </c>
      <c r="C11" s="398" t="s">
        <v>70</v>
      </c>
      <c r="D11" s="452">
        <v>4</v>
      </c>
      <c r="E11" s="451">
        <v>5</v>
      </c>
      <c r="F11" s="404"/>
      <c r="G11" s="404">
        <v>20</v>
      </c>
      <c r="H11" s="404"/>
      <c r="I11" s="452" t="s">
        <v>1049</v>
      </c>
      <c r="J11" s="451"/>
      <c r="K11" s="404">
        <v>20</v>
      </c>
      <c r="L11" s="404"/>
      <c r="M11" s="404">
        <v>30</v>
      </c>
      <c r="N11" s="404"/>
      <c r="O11" s="404"/>
      <c r="P11" s="404"/>
      <c r="Q11" s="452">
        <v>10</v>
      </c>
      <c r="R11" s="454"/>
      <c r="S11" s="451">
        <v>12</v>
      </c>
      <c r="T11" s="404">
        <v>12</v>
      </c>
      <c r="U11" s="449" t="s">
        <v>1089</v>
      </c>
      <c r="V11" s="404">
        <v>12</v>
      </c>
      <c r="W11" s="449" t="s">
        <v>1089</v>
      </c>
      <c r="X11" s="449" t="s">
        <v>1089</v>
      </c>
      <c r="Y11" s="449" t="s">
        <v>1089</v>
      </c>
      <c r="Z11" s="449" t="s">
        <v>1089</v>
      </c>
      <c r="AA11" s="449" t="s">
        <v>1089</v>
      </c>
      <c r="AB11" s="449" t="s">
        <v>1089</v>
      </c>
      <c r="AC11" s="449" t="s">
        <v>1089</v>
      </c>
      <c r="AD11" s="449" t="s">
        <v>1089</v>
      </c>
      <c r="AE11" s="450" t="s">
        <v>1089</v>
      </c>
      <c r="AF11" s="451" t="s">
        <v>216</v>
      </c>
      <c r="AG11" s="452" t="s">
        <v>216</v>
      </c>
      <c r="AH11" s="455" t="s">
        <v>1095</v>
      </c>
      <c r="AM11" s="151" t="s">
        <v>175</v>
      </c>
      <c r="AN11" s="464" t="s">
        <v>1096</v>
      </c>
      <c r="AO11" s="382" t="s">
        <v>1097</v>
      </c>
      <c r="AP11" s="382" t="s">
        <v>1099</v>
      </c>
      <c r="AQ11" s="382" t="s">
        <v>1097</v>
      </c>
      <c r="AR11" s="382" t="s">
        <v>1099</v>
      </c>
      <c r="AS11" s="382" t="s">
        <v>1099</v>
      </c>
      <c r="AT11" s="382" t="s">
        <v>1098</v>
      </c>
      <c r="AU11" s="382" t="s">
        <v>1098</v>
      </c>
      <c r="AV11" s="382" t="s">
        <v>1098</v>
      </c>
      <c r="AW11" s="464" t="s">
        <v>1092</v>
      </c>
      <c r="AX11" s="464" t="s">
        <v>1092</v>
      </c>
      <c r="AY11" s="464" t="s">
        <v>1092</v>
      </c>
      <c r="AZ11" s="464" t="s">
        <v>1092</v>
      </c>
      <c r="BJ11" s="142" t="s">
        <v>1087</v>
      </c>
    </row>
    <row r="12" spans="1:64" ht="42" thickBot="1" x14ac:dyDescent="0.3">
      <c r="B12" s="481" t="s">
        <v>176</v>
      </c>
      <c r="C12" s="398" t="s">
        <v>216</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1089</v>
      </c>
      <c r="AA12" s="449" t="s">
        <v>1089</v>
      </c>
      <c r="AB12" s="449" t="s">
        <v>1089</v>
      </c>
      <c r="AC12" s="449" t="s">
        <v>1089</v>
      </c>
      <c r="AD12" s="449" t="s">
        <v>1089</v>
      </c>
      <c r="AE12" s="450" t="s">
        <v>1089</v>
      </c>
      <c r="AF12" s="451" t="s">
        <v>216</v>
      </c>
      <c r="AG12" s="452" t="s">
        <v>216</v>
      </c>
      <c r="AH12" s="455" t="s">
        <v>1095</v>
      </c>
      <c r="AM12" s="151" t="s">
        <v>176</v>
      </c>
      <c r="AN12" s="464" t="s">
        <v>1100</v>
      </c>
      <c r="AO12" s="464" t="s">
        <v>1101</v>
      </c>
      <c r="AP12" s="464" t="s">
        <v>1101</v>
      </c>
      <c r="AQ12" s="464" t="s">
        <v>1101</v>
      </c>
      <c r="AR12" s="464" t="s">
        <v>1102</v>
      </c>
      <c r="AS12" s="464" t="s">
        <v>1102</v>
      </c>
      <c r="AT12" s="464" t="s">
        <v>1102</v>
      </c>
      <c r="AU12" s="382" t="s">
        <v>1099</v>
      </c>
      <c r="AV12" s="382" t="s">
        <v>1099</v>
      </c>
      <c r="AW12" s="382" t="s">
        <v>1103</v>
      </c>
      <c r="AX12" s="382" t="s">
        <v>1099</v>
      </c>
      <c r="AY12" s="382" t="s">
        <v>1099</v>
      </c>
      <c r="AZ12" s="464" t="s">
        <v>1092</v>
      </c>
      <c r="BJ12" s="142" t="s">
        <v>1087</v>
      </c>
    </row>
    <row r="13" spans="1:64" ht="42" thickBot="1" x14ac:dyDescent="0.3">
      <c r="B13" s="481" t="s">
        <v>177</v>
      </c>
      <c r="C13" s="398" t="s">
        <v>216</v>
      </c>
      <c r="D13" s="452">
        <v>2</v>
      </c>
      <c r="E13" s="451">
        <v>5</v>
      </c>
      <c r="F13" s="404"/>
      <c r="G13" s="404">
        <v>20</v>
      </c>
      <c r="H13" s="404"/>
      <c r="I13" s="452" t="s">
        <v>1049</v>
      </c>
      <c r="J13" s="451"/>
      <c r="K13" s="404">
        <v>20</v>
      </c>
      <c r="L13" s="404"/>
      <c r="M13" s="404">
        <v>30</v>
      </c>
      <c r="N13" s="404"/>
      <c r="O13" s="404"/>
      <c r="P13" s="404"/>
      <c r="Q13" s="452">
        <v>10</v>
      </c>
      <c r="R13" s="454"/>
      <c r="S13" s="451">
        <v>12</v>
      </c>
      <c r="T13" s="404">
        <v>12</v>
      </c>
      <c r="U13" s="449" t="s">
        <v>1089</v>
      </c>
      <c r="V13" s="404">
        <v>12</v>
      </c>
      <c r="W13" s="449" t="s">
        <v>1089</v>
      </c>
      <c r="X13" s="449" t="s">
        <v>1089</v>
      </c>
      <c r="Y13" s="404">
        <v>12</v>
      </c>
      <c r="Z13" s="449" t="s">
        <v>1089</v>
      </c>
      <c r="AA13" s="449" t="s">
        <v>1089</v>
      </c>
      <c r="AB13" s="449" t="s">
        <v>1089</v>
      </c>
      <c r="AC13" s="449" t="s">
        <v>1089</v>
      </c>
      <c r="AD13" s="449" t="s">
        <v>1089</v>
      </c>
      <c r="AE13" s="450" t="s">
        <v>1089</v>
      </c>
      <c r="AF13" s="451" t="s">
        <v>216</v>
      </c>
      <c r="AG13" s="452" t="s">
        <v>216</v>
      </c>
      <c r="AH13" s="455" t="s">
        <v>1095</v>
      </c>
      <c r="AM13" s="151" t="s">
        <v>177</v>
      </c>
      <c r="AN13" s="464" t="s">
        <v>1100</v>
      </c>
      <c r="AO13" s="464" t="s">
        <v>1101</v>
      </c>
      <c r="AP13" s="382" t="s">
        <v>1099</v>
      </c>
      <c r="AQ13" s="464" t="s">
        <v>1101</v>
      </c>
      <c r="AR13" s="382" t="s">
        <v>1099</v>
      </c>
      <c r="AS13" s="382" t="s">
        <v>1099</v>
      </c>
      <c r="AT13" s="464" t="s">
        <v>1102</v>
      </c>
      <c r="AU13" s="382" t="s">
        <v>1099</v>
      </c>
      <c r="AV13" s="382" t="s">
        <v>1099</v>
      </c>
      <c r="AW13" s="382" t="s">
        <v>1099</v>
      </c>
      <c r="AX13" s="382" t="s">
        <v>1103</v>
      </c>
      <c r="AY13" s="382" t="s">
        <v>1103</v>
      </c>
      <c r="AZ13" s="464" t="s">
        <v>1092</v>
      </c>
      <c r="BJ13" s="142" t="s">
        <v>1087</v>
      </c>
    </row>
    <row r="14" spans="1:64" ht="42" thickBot="1" x14ac:dyDescent="0.3">
      <c r="B14" s="481" t="s">
        <v>1083</v>
      </c>
      <c r="C14" s="398" t="s">
        <v>216</v>
      </c>
      <c r="D14" s="452">
        <v>2</v>
      </c>
      <c r="E14" s="451">
        <v>5</v>
      </c>
      <c r="F14" s="404"/>
      <c r="G14" s="404">
        <v>20</v>
      </c>
      <c r="H14" s="404"/>
      <c r="I14" s="452" t="s">
        <v>1049</v>
      </c>
      <c r="J14" s="451"/>
      <c r="K14" s="404">
        <v>20</v>
      </c>
      <c r="L14" s="404"/>
      <c r="M14" s="404">
        <v>30</v>
      </c>
      <c r="N14" s="404"/>
      <c r="O14" s="404"/>
      <c r="P14" s="404"/>
      <c r="Q14" s="452">
        <v>10</v>
      </c>
      <c r="R14" s="454"/>
      <c r="S14" s="451">
        <v>12</v>
      </c>
      <c r="T14" s="404">
        <v>12</v>
      </c>
      <c r="U14" s="449" t="s">
        <v>1089</v>
      </c>
      <c r="V14" s="404">
        <v>12</v>
      </c>
      <c r="W14" s="449" t="s">
        <v>1089</v>
      </c>
      <c r="X14" s="449" t="s">
        <v>1089</v>
      </c>
      <c r="Y14" s="404">
        <v>12</v>
      </c>
      <c r="Z14" s="449" t="s">
        <v>1089</v>
      </c>
      <c r="AA14" s="449" t="s">
        <v>1089</v>
      </c>
      <c r="AB14" s="449" t="s">
        <v>1089</v>
      </c>
      <c r="AC14" s="449" t="s">
        <v>1089</v>
      </c>
      <c r="AD14" s="449" t="s">
        <v>1089</v>
      </c>
      <c r="AE14" s="450" t="s">
        <v>1089</v>
      </c>
      <c r="AF14" s="451" t="s">
        <v>216</v>
      </c>
      <c r="AG14" s="452" t="s">
        <v>216</v>
      </c>
      <c r="AH14" s="455" t="s">
        <v>1095</v>
      </c>
      <c r="AM14" s="151" t="s">
        <v>1083</v>
      </c>
      <c r="AN14" s="464" t="s">
        <v>1100</v>
      </c>
      <c r="AO14" s="464" t="s">
        <v>1101</v>
      </c>
      <c r="AP14" s="382" t="s">
        <v>1099</v>
      </c>
      <c r="AQ14" s="464" t="s">
        <v>1101</v>
      </c>
      <c r="AR14" s="382" t="s">
        <v>1099</v>
      </c>
      <c r="AS14" s="382" t="s">
        <v>1099</v>
      </c>
      <c r="AT14" s="464" t="s">
        <v>1102</v>
      </c>
      <c r="AU14" s="382" t="s">
        <v>1099</v>
      </c>
      <c r="AV14" s="382" t="s">
        <v>1099</v>
      </c>
      <c r="AW14" s="382" t="s">
        <v>1099</v>
      </c>
      <c r="AX14" s="382" t="s">
        <v>1103</v>
      </c>
      <c r="AY14" s="382" t="s">
        <v>1103</v>
      </c>
      <c r="AZ14" s="464" t="s">
        <v>1092</v>
      </c>
      <c r="BJ14" s="142" t="s">
        <v>1087</v>
      </c>
    </row>
    <row r="15" spans="1:64" ht="42" thickBot="1" x14ac:dyDescent="0.3">
      <c r="B15" s="482" t="s">
        <v>179</v>
      </c>
      <c r="C15" s="364" t="s">
        <v>486</v>
      </c>
      <c r="D15" s="442">
        <v>1</v>
      </c>
      <c r="E15" s="456">
        <v>1</v>
      </c>
      <c r="F15" s="388"/>
      <c r="G15" s="388" t="s">
        <v>1037</v>
      </c>
      <c r="H15" s="388"/>
      <c r="I15" s="442" t="s">
        <v>1037</v>
      </c>
      <c r="J15" s="456"/>
      <c r="K15" s="388" t="s">
        <v>1037</v>
      </c>
      <c r="L15" s="388"/>
      <c r="M15" s="388" t="s">
        <v>1037</v>
      </c>
      <c r="N15" s="388"/>
      <c r="O15" s="388"/>
      <c r="P15" s="388"/>
      <c r="Q15" s="442" t="s">
        <v>1037</v>
      </c>
      <c r="R15" s="457"/>
      <c r="S15" s="458" t="s">
        <v>1089</v>
      </c>
      <c r="T15" s="459" t="s">
        <v>1089</v>
      </c>
      <c r="U15" s="459" t="s">
        <v>1089</v>
      </c>
      <c r="V15" s="459" t="s">
        <v>1089</v>
      </c>
      <c r="W15" s="459" t="s">
        <v>1089</v>
      </c>
      <c r="X15" s="459" t="s">
        <v>1089</v>
      </c>
      <c r="Y15" s="459" t="s">
        <v>1089</v>
      </c>
      <c r="Z15" s="459" t="s">
        <v>1089</v>
      </c>
      <c r="AA15" s="459" t="s">
        <v>1089</v>
      </c>
      <c r="AB15" s="459" t="s">
        <v>1089</v>
      </c>
      <c r="AC15" s="459" t="s">
        <v>1089</v>
      </c>
      <c r="AD15" s="459" t="s">
        <v>1089</v>
      </c>
      <c r="AE15" s="460" t="s">
        <v>1089</v>
      </c>
      <c r="AF15" s="456" t="s">
        <v>216</v>
      </c>
      <c r="AG15" s="442" t="s">
        <v>216</v>
      </c>
      <c r="AH15" s="426" t="s">
        <v>1095</v>
      </c>
      <c r="AM15" s="151" t="s">
        <v>179</v>
      </c>
      <c r="AN15" s="382" t="s">
        <v>1099</v>
      </c>
      <c r="AO15" s="382" t="s">
        <v>1099</v>
      </c>
      <c r="AP15" s="382" t="s">
        <v>1099</v>
      </c>
      <c r="AQ15" s="382" t="s">
        <v>1099</v>
      </c>
      <c r="AR15" s="382" t="s">
        <v>1099</v>
      </c>
      <c r="AS15" s="382" t="s">
        <v>1099</v>
      </c>
      <c r="AT15" s="382" t="s">
        <v>1099</v>
      </c>
      <c r="AU15" s="382" t="s">
        <v>1099</v>
      </c>
      <c r="AV15" s="382" t="s">
        <v>1099</v>
      </c>
      <c r="AW15" s="382" t="s">
        <v>1099</v>
      </c>
      <c r="AX15" s="382" t="s">
        <v>1099</v>
      </c>
      <c r="AY15" s="382" t="s">
        <v>1099</v>
      </c>
      <c r="AZ15" s="382" t="s">
        <v>1104</v>
      </c>
      <c r="BJ15" s="142" t="s">
        <v>1088</v>
      </c>
    </row>
    <row r="16" spans="1:64" x14ac:dyDescent="0.25">
      <c r="Q16" s="34"/>
    </row>
    <row r="17" spans="17:17" x14ac:dyDescent="0.25">
      <c r="Q17" s="30"/>
    </row>
    <row r="18" spans="17:17" x14ac:dyDescent="0.25">
      <c r="Q18" s="30"/>
    </row>
    <row r="19" spans="17:17" x14ac:dyDescent="0.25">
      <c r="Q19" s="30"/>
    </row>
    <row r="20" spans="17:17" ht="184.5" hidden="1" customHeight="1" x14ac:dyDescent="0.25"/>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A1:B1"/>
    <mergeCell ref="E1:I1"/>
    <mergeCell ref="C1:D1"/>
    <mergeCell ref="J1:R1"/>
    <mergeCell ref="S1:AE1"/>
    <mergeCell ref="BK1:BL1"/>
    <mergeCell ref="AF1:AG1"/>
    <mergeCell ref="AH1:AH2"/>
    <mergeCell ref="AJ1:AK1"/>
    <mergeCell ref="AN1:AZ1"/>
  </mergeCells>
  <phoneticPr fontId="9" type="noConversion"/>
  <dataValidations count="1">
    <dataValidation type="list" allowBlank="1" showInputMessage="1" showErrorMessage="1" sqref="R3:R15" xr:uid="{00000000-0002-0000-16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1000000}">
          <x14:formula1>
            <xm:f>'\\LYN264DF\m312897$\Net Gain\[Latest Tool with updated hedgerows 06 11 2020.xlsm]G-3 Multipliers'!#REF!</xm:f>
          </x14:formula1>
          <xm:sqref>AF3:AG15</xm:sqref>
        </x14:dataValidation>
        <x14:dataValidation type="list" allowBlank="1" showInputMessage="1" showErrorMessage="1" xr:uid="{00000000-0002-0000-1600-000002000000}">
          <x14:formula1>
            <xm:f>'\\LYN264DF\m312897$\Net Gain\[Latest Tool with updated hedgerows 06 11 2020.xlsm]G-1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rgb="FFFFC000"/>
  </sheetPr>
  <dimension ref="A1:ES30"/>
  <sheetViews>
    <sheetView showGridLines="0" zoomScale="80" zoomScaleNormal="80" workbookViewId="0">
      <selection sqref="A1:B2"/>
    </sheetView>
  </sheetViews>
  <sheetFormatPr defaultColWidth="0" defaultRowHeight="13.8" zeroHeight="1" outlineLevelCol="1" x14ac:dyDescent="0.25"/>
  <cols>
    <col min="1" max="1" width="9.21875" style="30" customWidth="1"/>
    <col min="2" max="2" width="37.21875" style="30" customWidth="1"/>
    <col min="3" max="4" width="17.77734375" style="30" customWidth="1"/>
    <col min="5" max="5" width="14.5546875" style="30" customWidth="1"/>
    <col min="6" max="6" width="15.77734375" style="30" customWidth="1"/>
    <col min="7" max="7" width="13.21875" style="30" customWidth="1"/>
    <col min="8" max="9" width="11.77734375" style="30" customWidth="1"/>
    <col min="10" max="10" width="13" style="30" customWidth="1"/>
    <col min="11" max="11" width="12.21875" style="30" customWidth="1"/>
    <col min="12" max="13" width="10.77734375" style="30" customWidth="1"/>
    <col min="14" max="14" width="14.21875" style="30" customWidth="1"/>
    <col min="15" max="15" width="8.5546875" style="30" customWidth="1"/>
    <col min="16" max="16" width="10.77734375" style="30" customWidth="1"/>
    <col min="17" max="17" width="19" style="30" customWidth="1"/>
    <col min="18" max="18" width="16" style="30" customWidth="1"/>
    <col min="19" max="19" width="14.44140625" style="30" customWidth="1"/>
    <col min="20" max="22" width="15.77734375" style="30" customWidth="1"/>
    <col min="23" max="26" width="10.77734375" style="30" customWidth="1"/>
    <col min="27" max="27" width="18.77734375" style="30" bestFit="1" customWidth="1"/>
    <col min="28" max="28" width="13.44140625" style="30" customWidth="1"/>
    <col min="29" max="29" width="9.21875" style="30" customWidth="1"/>
    <col min="30" max="30" width="18" style="30" customWidth="1"/>
    <col min="31" max="31" width="12.44140625" style="30" customWidth="1"/>
    <col min="32" max="32" width="9.21875" style="30" customWidth="1"/>
    <col min="33" max="33" width="59.77734375" style="30" customWidth="1"/>
    <col min="34" max="34" width="24.77734375" style="30" customWidth="1"/>
    <col min="35" max="35" width="18.77734375" style="30" customWidth="1"/>
    <col min="36" max="36" width="9.21875" style="30" customWidth="1"/>
    <col min="37" max="37" width="46.77734375" style="30" bestFit="1" customWidth="1"/>
    <col min="38" max="38" width="24.21875" style="30" customWidth="1"/>
    <col min="39" max="39" width="13.77734375" style="30" customWidth="1"/>
    <col min="40" max="40" width="9.21875" style="30" customWidth="1"/>
    <col min="41" max="41" width="28.21875" style="30" customWidth="1"/>
    <col min="42" max="42" width="13" style="30" customWidth="1"/>
    <col min="43" max="44" width="9.21875" style="30" customWidth="1"/>
    <col min="45" max="45" width="25.21875" style="30" bestFit="1" customWidth="1"/>
    <col min="46" max="46" width="20.44140625" style="30" bestFit="1" customWidth="1"/>
    <col min="47" max="47" width="31.21875" style="30" customWidth="1"/>
    <col min="48" max="48" width="9.21875" style="30" customWidth="1"/>
    <col min="49" max="49" width="13" style="30" hidden="1" customWidth="1" outlineLevel="1"/>
    <col min="50" max="50" width="9.21875" style="30" hidden="1" customWidth="1" outlineLevel="1"/>
    <col min="51" max="51" width="23.77734375" style="30" hidden="1" customWidth="1" outlineLevel="1"/>
    <col min="52" max="52" width="31.21875" style="30" hidden="1" customWidth="1" outlineLevel="1"/>
    <col min="53" max="53" width="9.21875" style="30" hidden="1" customWidth="1" outlineLevel="1"/>
    <col min="54" max="54" width="17.77734375" style="30" hidden="1" customWidth="1" outlineLevel="1"/>
    <col min="55" max="55" width="15.21875" style="30" hidden="1" customWidth="1" outlineLevel="1"/>
    <col min="56" max="102" width="9.21875" style="30" hidden="1" customWidth="1" outlineLevel="1"/>
    <col min="103" max="103" width="9.21875" style="30" hidden="1" customWidth="1" outlineLevel="1" collapsed="1"/>
    <col min="104" max="104" width="17.77734375" style="30" hidden="1" customWidth="1" collapsed="1"/>
    <col min="105" max="149" width="17.77734375" style="30" hidden="1" customWidth="1"/>
    <col min="150" max="16384" width="9.21875" style="30" hidden="1"/>
  </cols>
  <sheetData>
    <row r="1" spans="1:55" ht="14.4" thickBot="1" x14ac:dyDescent="0.3">
      <c r="A1" s="1651"/>
      <c r="B1" s="1651"/>
    </row>
    <row r="2" spans="1:55" ht="31.5" customHeight="1" thickBot="1" x14ac:dyDescent="0.35">
      <c r="A2" s="1651"/>
      <c r="B2" s="1651"/>
      <c r="C2" s="1673" t="s">
        <v>269</v>
      </c>
      <c r="D2" s="1674"/>
      <c r="E2" s="1660" t="s">
        <v>379</v>
      </c>
      <c r="F2" s="1661"/>
      <c r="G2" s="1661"/>
      <c r="H2" s="1660" t="s">
        <v>357</v>
      </c>
      <c r="I2" s="1661"/>
      <c r="J2" s="1661"/>
      <c r="K2" s="1661"/>
      <c r="L2" s="1662"/>
      <c r="N2" s="1675" t="s">
        <v>1105</v>
      </c>
      <c r="O2" s="1676"/>
      <c r="Q2" s="1671" t="s">
        <v>1106</v>
      </c>
      <c r="R2" s="1672"/>
      <c r="T2" s="1515" t="s">
        <v>1107</v>
      </c>
      <c r="U2" s="1595"/>
      <c r="V2" s="1595"/>
      <c r="W2" s="1595"/>
      <c r="X2" s="1595"/>
      <c r="Y2" s="1667"/>
      <c r="AA2" s="1668" t="s">
        <v>1108</v>
      </c>
      <c r="AB2" s="1669"/>
      <c r="AC2" s="102"/>
      <c r="AD2" s="1668" t="s">
        <v>1108</v>
      </c>
      <c r="AE2" s="1669"/>
      <c r="AG2" s="1668" t="s">
        <v>1109</v>
      </c>
      <c r="AH2" s="1670"/>
      <c r="AI2" s="1669"/>
      <c r="AK2" s="1668" t="s">
        <v>1109</v>
      </c>
      <c r="AL2" s="1670"/>
      <c r="AM2" s="1669"/>
      <c r="AO2" s="1663" t="s">
        <v>1109</v>
      </c>
      <c r="AP2" s="1664"/>
      <c r="AQ2" s="235"/>
      <c r="AS2" s="1618" t="s">
        <v>1110</v>
      </c>
      <c r="AT2" s="1665"/>
      <c r="AU2" s="1666"/>
      <c r="AY2" s="236"/>
      <c r="AZ2" s="237" t="s">
        <v>280</v>
      </c>
      <c r="BB2" s="236" t="s">
        <v>1111</v>
      </c>
      <c r="BC2" s="237" t="s">
        <v>1112</v>
      </c>
    </row>
    <row r="3" spans="1:55" ht="42" thickBot="1" x14ac:dyDescent="0.3">
      <c r="B3" s="238" t="s">
        <v>933</v>
      </c>
      <c r="C3" s="214" t="s">
        <v>448</v>
      </c>
      <c r="D3" s="105" t="s">
        <v>449</v>
      </c>
      <c r="E3" s="483" t="s">
        <v>451</v>
      </c>
      <c r="F3" s="105" t="s">
        <v>452</v>
      </c>
      <c r="G3" s="485" t="s">
        <v>450</v>
      </c>
      <c r="H3" s="484" t="s">
        <v>68</v>
      </c>
      <c r="I3" s="239" t="s">
        <v>472</v>
      </c>
      <c r="J3" s="239" t="s">
        <v>67</v>
      </c>
      <c r="K3" s="239" t="s">
        <v>482</v>
      </c>
      <c r="L3" s="240" t="s">
        <v>328</v>
      </c>
      <c r="N3" s="486" t="s">
        <v>68</v>
      </c>
      <c r="O3" s="367">
        <v>10</v>
      </c>
      <c r="Q3" s="269" t="s">
        <v>1080</v>
      </c>
      <c r="R3" s="442">
        <v>10</v>
      </c>
      <c r="T3" s="214"/>
      <c r="U3" s="1515" t="s">
        <v>1113</v>
      </c>
      <c r="V3" s="1595"/>
      <c r="W3" s="1595"/>
      <c r="X3" s="1595"/>
      <c r="Y3" s="1667"/>
      <c r="AA3" s="214" t="s">
        <v>1114</v>
      </c>
      <c r="AB3" s="213" t="s">
        <v>1115</v>
      </c>
      <c r="AC3" s="102"/>
      <c r="AD3" s="214" t="s">
        <v>1116</v>
      </c>
      <c r="AE3" s="213" t="s">
        <v>1115</v>
      </c>
      <c r="AG3" s="213" t="s">
        <v>1117</v>
      </c>
      <c r="AH3" s="212" t="s">
        <v>121</v>
      </c>
      <c r="AI3" s="105" t="s">
        <v>1118</v>
      </c>
      <c r="AK3" s="104" t="s">
        <v>1117</v>
      </c>
      <c r="AL3" s="105" t="s">
        <v>121</v>
      </c>
      <c r="AM3" s="106" t="s">
        <v>1118</v>
      </c>
      <c r="AO3" s="659" t="s">
        <v>1117</v>
      </c>
      <c r="AP3" s="78" t="s">
        <v>1118</v>
      </c>
      <c r="AS3" s="236" t="s">
        <v>1119</v>
      </c>
      <c r="AT3" s="241" t="s">
        <v>1120</v>
      </c>
      <c r="AU3" s="237" t="s">
        <v>1079</v>
      </c>
      <c r="AY3" s="242" t="s">
        <v>1121</v>
      </c>
      <c r="AZ3" s="243" t="s">
        <v>1111</v>
      </c>
      <c r="BB3" s="112" t="s">
        <v>68</v>
      </c>
      <c r="BC3" s="113" t="s">
        <v>328</v>
      </c>
    </row>
    <row r="4" spans="1:55" ht="55.8" thickBot="1" x14ac:dyDescent="0.3">
      <c r="B4" s="68" t="s">
        <v>196</v>
      </c>
      <c r="C4" s="404" t="s">
        <v>467</v>
      </c>
      <c r="D4" s="382">
        <v>8</v>
      </c>
      <c r="E4" s="404" t="s">
        <v>213</v>
      </c>
      <c r="F4" s="404" t="s">
        <v>70</v>
      </c>
      <c r="G4" s="382" t="s">
        <v>212</v>
      </c>
      <c r="H4" s="404">
        <v>3</v>
      </c>
      <c r="I4" s="404">
        <v>2.5</v>
      </c>
      <c r="J4" s="404">
        <v>2</v>
      </c>
      <c r="K4" s="404">
        <v>1.5</v>
      </c>
      <c r="L4" s="382">
        <v>1</v>
      </c>
      <c r="M4" s="22"/>
      <c r="N4" s="100" t="s">
        <v>472</v>
      </c>
      <c r="O4" s="382">
        <v>8</v>
      </c>
      <c r="T4" s="134" t="s">
        <v>1122</v>
      </c>
      <c r="U4" s="487" t="s">
        <v>328</v>
      </c>
      <c r="V4" s="244" t="s">
        <v>482</v>
      </c>
      <c r="W4" s="244" t="s">
        <v>67</v>
      </c>
      <c r="X4" s="244" t="s">
        <v>472</v>
      </c>
      <c r="Y4" s="244" t="s">
        <v>68</v>
      </c>
      <c r="AA4" s="79" t="s">
        <v>1123</v>
      </c>
      <c r="AB4" s="404">
        <v>1</v>
      </c>
      <c r="AC4" s="102"/>
      <c r="AD4" s="265" t="s">
        <v>1124</v>
      </c>
      <c r="AE4" s="404">
        <v>0.75</v>
      </c>
      <c r="AG4" s="79" t="s">
        <v>1125</v>
      </c>
      <c r="AH4" s="382" t="s">
        <v>1035</v>
      </c>
      <c r="AI4" s="404">
        <v>1</v>
      </c>
      <c r="AK4" s="99" t="s">
        <v>1026</v>
      </c>
      <c r="AL4" s="382" t="s">
        <v>1027</v>
      </c>
      <c r="AM4" s="452">
        <v>1.1499999999999999</v>
      </c>
      <c r="AO4" s="265" t="s">
        <v>1039</v>
      </c>
      <c r="AP4" s="404">
        <v>1</v>
      </c>
      <c r="AS4" s="245" t="s">
        <v>467</v>
      </c>
      <c r="AT4" s="383">
        <v>8</v>
      </c>
      <c r="AU4" s="490" t="s">
        <v>1126</v>
      </c>
      <c r="AY4" s="67" t="s">
        <v>1127</v>
      </c>
      <c r="AZ4" s="243" t="s">
        <v>1111</v>
      </c>
      <c r="BB4" s="154" t="s">
        <v>472</v>
      </c>
      <c r="BC4" s="246"/>
    </row>
    <row r="5" spans="1:55" ht="27.6" x14ac:dyDescent="0.25">
      <c r="B5" s="68" t="s">
        <v>197</v>
      </c>
      <c r="C5" s="404" t="s">
        <v>213</v>
      </c>
      <c r="D5" s="382">
        <v>6</v>
      </c>
      <c r="E5" s="404" t="s">
        <v>213</v>
      </c>
      <c r="F5" s="404" t="s">
        <v>70</v>
      </c>
      <c r="G5" s="382" t="s">
        <v>240</v>
      </c>
      <c r="H5" s="404">
        <v>3</v>
      </c>
      <c r="I5" s="404">
        <v>2.5</v>
      </c>
      <c r="J5" s="404">
        <v>2</v>
      </c>
      <c r="K5" s="404">
        <v>1.5</v>
      </c>
      <c r="L5" s="382">
        <v>1</v>
      </c>
      <c r="M5" s="22"/>
      <c r="N5" s="100" t="s">
        <v>67</v>
      </c>
      <c r="O5" s="382">
        <v>5</v>
      </c>
      <c r="T5" s="100" t="s">
        <v>328</v>
      </c>
      <c r="U5" s="488">
        <v>1</v>
      </c>
      <c r="V5" s="437">
        <v>2</v>
      </c>
      <c r="W5" s="437">
        <v>4</v>
      </c>
      <c r="X5" s="437">
        <v>6</v>
      </c>
      <c r="Y5" s="437">
        <v>8</v>
      </c>
      <c r="AA5" s="79" t="s">
        <v>1128</v>
      </c>
      <c r="AB5" s="404">
        <v>0.8</v>
      </c>
      <c r="AC5" s="102"/>
      <c r="AD5" s="265" t="s">
        <v>1129</v>
      </c>
      <c r="AE5" s="404">
        <v>0.8</v>
      </c>
      <c r="AG5" s="79" t="s">
        <v>1130</v>
      </c>
      <c r="AH5" s="382" t="s">
        <v>1027</v>
      </c>
      <c r="AI5" s="404">
        <v>1.1499999999999999</v>
      </c>
      <c r="AK5" s="99" t="s">
        <v>1030</v>
      </c>
      <c r="AL5" s="382" t="s">
        <v>1031</v>
      </c>
      <c r="AM5" s="452">
        <v>1.1000000000000001</v>
      </c>
      <c r="AO5" s="100" t="s">
        <v>1131</v>
      </c>
      <c r="AP5" s="404">
        <v>1</v>
      </c>
      <c r="AS5" s="215" t="s">
        <v>213</v>
      </c>
      <c r="AT5" s="404">
        <v>6</v>
      </c>
      <c r="AU5" s="386" t="s">
        <v>1132</v>
      </c>
      <c r="AY5" s="67" t="s">
        <v>198</v>
      </c>
      <c r="AZ5" s="243" t="s">
        <v>1111</v>
      </c>
      <c r="BB5" s="154" t="s">
        <v>67</v>
      </c>
      <c r="BC5" s="246"/>
    </row>
    <row r="6" spans="1:55" ht="42" thickBot="1" x14ac:dyDescent="0.3">
      <c r="B6" s="68" t="s">
        <v>198</v>
      </c>
      <c r="C6" s="404" t="s">
        <v>70</v>
      </c>
      <c r="D6" s="404">
        <v>4</v>
      </c>
      <c r="E6" s="404" t="s">
        <v>216</v>
      </c>
      <c r="F6" s="404" t="s">
        <v>70</v>
      </c>
      <c r="G6" s="382" t="s">
        <v>240</v>
      </c>
      <c r="H6" s="404">
        <v>3</v>
      </c>
      <c r="I6" s="404">
        <v>2.5</v>
      </c>
      <c r="J6" s="404">
        <v>2</v>
      </c>
      <c r="K6" s="404">
        <v>1.5</v>
      </c>
      <c r="L6" s="382">
        <v>1</v>
      </c>
      <c r="M6" s="22"/>
      <c r="N6" s="100" t="s">
        <v>482</v>
      </c>
      <c r="O6" s="382">
        <v>2</v>
      </c>
      <c r="T6" s="100" t="s">
        <v>482</v>
      </c>
      <c r="U6" s="489" t="s">
        <v>1037</v>
      </c>
      <c r="V6" s="438">
        <v>1</v>
      </c>
      <c r="W6" s="438">
        <v>2</v>
      </c>
      <c r="X6" s="438">
        <v>4</v>
      </c>
      <c r="Y6" s="438">
        <v>6</v>
      </c>
      <c r="AA6" s="79" t="s">
        <v>1133</v>
      </c>
      <c r="AB6" s="404">
        <v>0.5</v>
      </c>
      <c r="AC6" s="102"/>
      <c r="AD6" s="265" t="s">
        <v>1134</v>
      </c>
      <c r="AE6" s="404">
        <v>0.84</v>
      </c>
      <c r="AG6" s="79" t="s">
        <v>1135</v>
      </c>
      <c r="AH6" s="382" t="s">
        <v>1027</v>
      </c>
      <c r="AI6" s="404">
        <v>1.1499999999999999</v>
      </c>
      <c r="AK6" s="74" t="s">
        <v>1034</v>
      </c>
      <c r="AL6" s="371" t="s">
        <v>1035</v>
      </c>
      <c r="AM6" s="442">
        <v>1</v>
      </c>
      <c r="AO6" s="100" t="s">
        <v>1136</v>
      </c>
      <c r="AP6" s="404">
        <v>0.75</v>
      </c>
      <c r="AS6" s="215" t="s">
        <v>70</v>
      </c>
      <c r="AT6" s="404">
        <v>4</v>
      </c>
      <c r="AU6" s="386" t="s">
        <v>1137</v>
      </c>
      <c r="AY6" s="67" t="s">
        <v>199</v>
      </c>
      <c r="AZ6" s="243" t="s">
        <v>1111</v>
      </c>
      <c r="BB6" s="154" t="s">
        <v>482</v>
      </c>
      <c r="BC6" s="246"/>
    </row>
    <row r="7" spans="1:55" ht="28.2" thickBot="1" x14ac:dyDescent="0.3">
      <c r="B7" s="68" t="s">
        <v>199</v>
      </c>
      <c r="C7" s="404" t="s">
        <v>70</v>
      </c>
      <c r="D7" s="404">
        <v>4</v>
      </c>
      <c r="E7" s="404" t="s">
        <v>216</v>
      </c>
      <c r="F7" s="404" t="s">
        <v>70</v>
      </c>
      <c r="G7" s="382" t="s">
        <v>240</v>
      </c>
      <c r="H7" s="404">
        <v>3</v>
      </c>
      <c r="I7" s="404">
        <v>2.5</v>
      </c>
      <c r="J7" s="404">
        <v>2</v>
      </c>
      <c r="K7" s="404">
        <v>1.5</v>
      </c>
      <c r="L7" s="382">
        <v>1</v>
      </c>
      <c r="M7" s="22"/>
      <c r="N7" s="100" t="s">
        <v>328</v>
      </c>
      <c r="O7" s="382">
        <v>1</v>
      </c>
      <c r="T7" s="100" t="s">
        <v>67</v>
      </c>
      <c r="U7" s="489" t="s">
        <v>1037</v>
      </c>
      <c r="V7" s="438" t="s">
        <v>1037</v>
      </c>
      <c r="W7" s="438">
        <v>1</v>
      </c>
      <c r="X7" s="438">
        <v>2</v>
      </c>
      <c r="Y7" s="438">
        <v>4</v>
      </c>
      <c r="AA7" s="79" t="s">
        <v>1138</v>
      </c>
      <c r="AB7" s="404">
        <v>1</v>
      </c>
      <c r="AC7" s="102"/>
      <c r="AD7" s="265" t="s">
        <v>1139</v>
      </c>
      <c r="AE7" s="404">
        <v>0.87</v>
      </c>
      <c r="AG7" s="79" t="s">
        <v>1140</v>
      </c>
      <c r="AH7" s="382" t="s">
        <v>1027</v>
      </c>
      <c r="AI7" s="404">
        <v>1.1499999999999999</v>
      </c>
      <c r="AK7" s="36"/>
      <c r="AL7" s="38"/>
      <c r="AM7" s="36"/>
      <c r="AO7" s="100" t="s">
        <v>1141</v>
      </c>
      <c r="AP7" s="404">
        <v>0.5</v>
      </c>
      <c r="AS7" s="211" t="s">
        <v>216</v>
      </c>
      <c r="AT7" s="388">
        <v>2</v>
      </c>
      <c r="AU7" s="442" t="s">
        <v>1142</v>
      </c>
      <c r="AY7" s="69" t="s">
        <v>200</v>
      </c>
      <c r="AZ7" s="243" t="s">
        <v>1112</v>
      </c>
      <c r="BB7" s="156" t="s">
        <v>328</v>
      </c>
      <c r="BC7" s="247"/>
    </row>
    <row r="8" spans="1:55" ht="55.2" x14ac:dyDescent="0.25">
      <c r="B8" s="85" t="s">
        <v>200</v>
      </c>
      <c r="C8" s="404" t="s">
        <v>216</v>
      </c>
      <c r="D8" s="404">
        <v>2</v>
      </c>
      <c r="E8" s="404" t="s">
        <v>216</v>
      </c>
      <c r="F8" s="404" t="s">
        <v>70</v>
      </c>
      <c r="G8" s="382" t="s">
        <v>247</v>
      </c>
      <c r="H8" s="404" t="s">
        <v>1048</v>
      </c>
      <c r="I8" s="404" t="s">
        <v>1048</v>
      </c>
      <c r="J8" s="404" t="s">
        <v>1048</v>
      </c>
      <c r="K8" s="404" t="s">
        <v>1048</v>
      </c>
      <c r="L8" s="382">
        <v>1</v>
      </c>
      <c r="M8" s="22"/>
      <c r="T8" s="100" t="s">
        <v>472</v>
      </c>
      <c r="U8" s="489" t="s">
        <v>1037</v>
      </c>
      <c r="V8" s="438" t="s">
        <v>1037</v>
      </c>
      <c r="W8" s="438" t="s">
        <v>1037</v>
      </c>
      <c r="X8" s="438">
        <v>1</v>
      </c>
      <c r="Y8" s="438">
        <v>2</v>
      </c>
      <c r="AC8" s="102"/>
      <c r="AD8" s="265" t="s">
        <v>1143</v>
      </c>
      <c r="AE8" s="404">
        <v>0.85</v>
      </c>
      <c r="AG8" s="79" t="s">
        <v>1144</v>
      </c>
      <c r="AH8" s="382" t="s">
        <v>1027</v>
      </c>
      <c r="AI8" s="404">
        <v>1.1499999999999999</v>
      </c>
      <c r="AK8" s="36"/>
      <c r="AL8" s="38"/>
      <c r="AM8" s="36"/>
    </row>
    <row r="9" spans="1:55" ht="27.6" x14ac:dyDescent="0.25">
      <c r="T9" s="100" t="s">
        <v>68</v>
      </c>
      <c r="U9" s="489" t="s">
        <v>1037</v>
      </c>
      <c r="V9" s="438" t="s">
        <v>1037</v>
      </c>
      <c r="W9" s="438" t="s">
        <v>1037</v>
      </c>
      <c r="X9" s="438" t="s">
        <v>1037</v>
      </c>
      <c r="Y9" s="438">
        <v>1</v>
      </c>
      <c r="AD9" s="265" t="s">
        <v>1145</v>
      </c>
      <c r="AE9" s="404">
        <v>0.9</v>
      </c>
      <c r="AG9" s="79" t="s">
        <v>1146</v>
      </c>
      <c r="AH9" s="382" t="s">
        <v>1027</v>
      </c>
      <c r="AI9" s="404">
        <v>1.1499999999999999</v>
      </c>
      <c r="AK9" s="36"/>
      <c r="AL9" s="38"/>
      <c r="AM9" s="36"/>
      <c r="AY9" s="35"/>
      <c r="AZ9" s="35"/>
      <c r="BA9" s="35"/>
      <c r="BB9" s="35"/>
      <c r="BC9" s="35"/>
    </row>
    <row r="10" spans="1:55" ht="27.6" x14ac:dyDescent="0.25">
      <c r="AD10" s="265" t="s">
        <v>1147</v>
      </c>
      <c r="AE10" s="404">
        <v>0.92</v>
      </c>
      <c r="AF10" s="102"/>
      <c r="AY10" s="35"/>
      <c r="AZ10" s="35"/>
      <c r="BA10" s="35"/>
      <c r="BB10" s="38"/>
      <c r="BC10" s="38"/>
    </row>
    <row r="11" spans="1:55" x14ac:dyDescent="0.25">
      <c r="AD11" s="265" t="s">
        <v>1148</v>
      </c>
      <c r="AE11" s="404">
        <v>0.95</v>
      </c>
      <c r="AF11" s="102"/>
      <c r="AY11" s="35"/>
      <c r="AZ11" s="35"/>
      <c r="BA11" s="35"/>
      <c r="BB11" s="38"/>
      <c r="BC11" s="35"/>
    </row>
    <row r="12" spans="1:55" ht="27.6" x14ac:dyDescent="0.25">
      <c r="B12" s="41"/>
      <c r="C12" s="66"/>
      <c r="D12" s="66"/>
      <c r="E12" s="66"/>
      <c r="F12" s="66"/>
      <c r="G12" s="39"/>
      <c r="AD12" s="265" t="s">
        <v>1149</v>
      </c>
      <c r="AE12" s="404">
        <v>0.98</v>
      </c>
      <c r="AF12" s="102"/>
      <c r="AY12" s="35"/>
      <c r="AZ12" s="35"/>
      <c r="BA12" s="35"/>
      <c r="BB12" s="38"/>
      <c r="BC12" s="35"/>
    </row>
    <row r="13" spans="1:55" ht="41.4" x14ac:dyDescent="0.25">
      <c r="B13" s="35"/>
      <c r="C13" s="36"/>
      <c r="D13" s="38"/>
      <c r="E13" s="36"/>
      <c r="F13" s="36"/>
      <c r="G13" s="38"/>
      <c r="AD13" s="265" t="s">
        <v>1150</v>
      </c>
      <c r="AE13" s="404">
        <v>1</v>
      </c>
      <c r="AF13" s="102"/>
      <c r="AG13" s="102"/>
      <c r="AH13" s="102"/>
      <c r="AY13" s="35"/>
      <c r="AZ13" s="35"/>
      <c r="BA13" s="35"/>
      <c r="BB13" s="38"/>
      <c r="BC13" s="35"/>
    </row>
    <row r="14" spans="1:55" x14ac:dyDescent="0.25">
      <c r="B14" s="35"/>
      <c r="C14" s="36"/>
      <c r="D14" s="38"/>
      <c r="E14" s="36"/>
      <c r="F14" s="36"/>
      <c r="G14" s="38"/>
      <c r="AD14" s="272" t="s">
        <v>1138</v>
      </c>
      <c r="AE14" s="404">
        <v>1</v>
      </c>
      <c r="AF14" s="102"/>
      <c r="AY14" s="35"/>
      <c r="AZ14" s="35"/>
      <c r="BA14" s="35"/>
      <c r="BB14" s="38"/>
      <c r="BC14" s="35"/>
    </row>
    <row r="15" spans="1:55" x14ac:dyDescent="0.25">
      <c r="B15" s="35"/>
      <c r="C15" s="36"/>
      <c r="D15" s="38"/>
      <c r="E15" s="36"/>
      <c r="F15" s="36"/>
      <c r="G15" s="38"/>
    </row>
    <row r="16" spans="1:55" x14ac:dyDescent="0.25">
      <c r="B16" s="35"/>
      <c r="C16" s="36"/>
      <c r="D16" s="38"/>
      <c r="E16" s="36"/>
      <c r="F16" s="36"/>
      <c r="G16" s="38"/>
    </row>
    <row r="17" spans="2:7" x14ac:dyDescent="0.25">
      <c r="B17" s="617"/>
      <c r="C17" s="36"/>
      <c r="D17" s="36"/>
      <c r="E17" s="36"/>
      <c r="F17" s="36"/>
      <c r="G17" s="38"/>
    </row>
    <row r="18" spans="2:7" x14ac:dyDescent="0.25"/>
    <row r="19" spans="2:7" x14ac:dyDescent="0.25"/>
    <row r="20" spans="2:7" x14ac:dyDescent="0.25"/>
    <row r="21" spans="2:7" x14ac:dyDescent="0.25"/>
    <row r="22" spans="2:7" x14ac:dyDescent="0.25"/>
    <row r="23" spans="2:7" x14ac:dyDescent="0.25"/>
    <row r="24" spans="2:7" x14ac:dyDescent="0.25"/>
    <row r="25" spans="2:7" x14ac:dyDescent="0.25"/>
    <row r="26" spans="2:7" x14ac:dyDescent="0.25"/>
    <row r="27" spans="2:7" x14ac:dyDescent="0.25"/>
    <row r="28" spans="2:7" x14ac:dyDescent="0.25"/>
    <row r="29" spans="2:7" x14ac:dyDescent="0.25"/>
    <row r="30" spans="2:7" x14ac:dyDescent="0.25"/>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Q2:R2"/>
    <mergeCell ref="A1:B2"/>
    <mergeCell ref="C2:D2"/>
    <mergeCell ref="E2:G2"/>
    <mergeCell ref="H2:L2"/>
    <mergeCell ref="N2:O2"/>
    <mergeCell ref="AO2:AP2"/>
    <mergeCell ref="AS2:AU2"/>
    <mergeCell ref="U3:Y3"/>
    <mergeCell ref="T2:Y2"/>
    <mergeCell ref="AA2:AB2"/>
    <mergeCell ref="AD2:AE2"/>
    <mergeCell ref="AG2:AI2"/>
    <mergeCell ref="AK2:AM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C000"/>
  </sheetPr>
  <dimension ref="A1:Q151"/>
  <sheetViews>
    <sheetView showGridLines="0" zoomScale="80" zoomScaleNormal="80" workbookViewId="0">
      <pane xSplit="1" ySplit="3" topLeftCell="B4" activePane="bottomRight" state="frozen"/>
      <selection pane="topRight"/>
      <selection pane="bottomLeft"/>
      <selection pane="bottomRight" sqref="A1:A2"/>
    </sheetView>
  </sheetViews>
  <sheetFormatPr defaultColWidth="0" defaultRowHeight="0" customHeight="1" zeroHeight="1" x14ac:dyDescent="0.25"/>
  <cols>
    <col min="1" max="1" width="88.77734375" style="30" bestFit="1" customWidth="1"/>
    <col min="2" max="2" width="12.77734375" style="30" bestFit="1" customWidth="1"/>
    <col min="3" max="3" width="17.21875" style="30" bestFit="1" customWidth="1"/>
    <col min="4" max="4" width="15.21875" style="30" bestFit="1" customWidth="1"/>
    <col min="5" max="5" width="16.21875" style="30" bestFit="1" customWidth="1"/>
    <col min="6" max="6" width="12.77734375" style="30" bestFit="1" customWidth="1"/>
    <col min="7" max="7" width="22" style="30" bestFit="1" customWidth="1"/>
    <col min="8" max="8" width="16.77734375" style="30" customWidth="1"/>
    <col min="9" max="9" width="21.44140625" style="30" hidden="1" customWidth="1"/>
    <col min="10" max="10" width="21.77734375" style="30" hidden="1" customWidth="1"/>
    <col min="11" max="11" width="19.44140625" style="30" hidden="1" customWidth="1"/>
    <col min="12" max="12" width="21.21875" style="30" hidden="1" customWidth="1"/>
    <col min="13" max="13" width="31.21875" style="30" hidden="1" customWidth="1"/>
    <col min="14" max="14" width="40.21875" style="30" hidden="1" customWidth="1"/>
    <col min="15" max="15" width="15.21875" style="30" customWidth="1"/>
    <col min="16" max="17" width="9.21875" style="30" customWidth="1"/>
    <col min="18" max="16384" width="9.21875" style="30" hidden="1"/>
  </cols>
  <sheetData>
    <row r="1" spans="1:14" ht="28.95" customHeight="1" x14ac:dyDescent="0.5">
      <c r="A1" s="1679"/>
      <c r="B1" s="227"/>
      <c r="C1" s="227"/>
      <c r="D1" s="227"/>
      <c r="E1" s="227"/>
      <c r="F1" s="227"/>
      <c r="G1" s="227"/>
      <c r="H1" s="249"/>
    </row>
    <row r="2" spans="1:14" ht="29.55" customHeight="1" x14ac:dyDescent="0.5">
      <c r="A2" s="1680"/>
      <c r="B2" s="1677" t="s">
        <v>357</v>
      </c>
      <c r="C2" s="1677"/>
      <c r="D2" s="1677"/>
      <c r="E2" s="1677"/>
      <c r="F2" s="1677"/>
      <c r="G2" s="1677"/>
      <c r="H2" s="1678"/>
    </row>
    <row r="3" spans="1:14" ht="27.6" x14ac:dyDescent="0.4">
      <c r="A3" s="229" t="s">
        <v>933</v>
      </c>
      <c r="B3" s="79" t="s">
        <v>68</v>
      </c>
      <c r="C3" s="79" t="s">
        <v>472</v>
      </c>
      <c r="D3" s="79" t="s">
        <v>67</v>
      </c>
      <c r="E3" s="79" t="s">
        <v>482</v>
      </c>
      <c r="F3" s="100" t="s">
        <v>328</v>
      </c>
      <c r="G3" s="100" t="s">
        <v>492</v>
      </c>
      <c r="H3" s="79" t="s">
        <v>496</v>
      </c>
      <c r="I3" s="30" t="s">
        <v>280</v>
      </c>
      <c r="J3" s="1681" t="s">
        <v>1151</v>
      </c>
      <c r="K3" s="1682"/>
      <c r="L3" s="1682"/>
      <c r="M3" s="1683"/>
    </row>
    <row r="4" spans="1:14" ht="13.8" x14ac:dyDescent="0.25">
      <c r="A4" s="68" t="str">
        <f>'G-1 All Habitats'!B3</f>
        <v>Cropland - Arable field margins cultivated annually</v>
      </c>
      <c r="B4" s="404" t="s">
        <v>1048</v>
      </c>
      <c r="C4" s="404" t="s">
        <v>1048</v>
      </c>
      <c r="D4" s="404" t="s">
        <v>1048</v>
      </c>
      <c r="E4" s="404" t="s">
        <v>1048</v>
      </c>
      <c r="F4" s="404" t="s">
        <v>1048</v>
      </c>
      <c r="G4" s="404">
        <v>1</v>
      </c>
      <c r="H4" s="404" t="s">
        <v>1048</v>
      </c>
      <c r="I4" s="30" t="str">
        <f>IF(G4=1,"Cond1",IF(H4=0,"Cond2",IF(AND(B4=3,C4=2.5,D4=2,E4=1.5,F4=1),"Cond4",IF(F4=1,"Cond3","Check"))))</f>
        <v>Cond1</v>
      </c>
      <c r="J4" s="248" t="s">
        <v>1152</v>
      </c>
      <c r="K4" s="248" t="s">
        <v>1153</v>
      </c>
      <c r="L4" s="248" t="s">
        <v>1154</v>
      </c>
      <c r="M4" s="248" t="s">
        <v>1155</v>
      </c>
      <c r="N4" s="30" t="s">
        <v>1156</v>
      </c>
    </row>
    <row r="5" spans="1:14" ht="13.8" x14ac:dyDescent="0.25">
      <c r="A5" s="68" t="str">
        <f>'G-1 All Habitats'!B4</f>
        <v>Cropland - Arable field margins game bird mix</v>
      </c>
      <c r="B5" s="404" t="s">
        <v>1048</v>
      </c>
      <c r="C5" s="404" t="s">
        <v>1048</v>
      </c>
      <c r="D5" s="404" t="s">
        <v>1048</v>
      </c>
      <c r="E5" s="404" t="s">
        <v>1048</v>
      </c>
      <c r="F5" s="404" t="s">
        <v>1048</v>
      </c>
      <c r="G5" s="404">
        <v>1</v>
      </c>
      <c r="H5" s="404" t="s">
        <v>1048</v>
      </c>
      <c r="I5" s="30" t="str">
        <f>IF(G5=1,"Cond1",IF(H5=0,"Cond2",IF(AND(B5=3,C5=2.5,D5=2,E5=1.5,F5=1),"Cond4",IF(F5=1,"Cond3","Check"))))</f>
        <v>Cond1</v>
      </c>
      <c r="J5" s="177" t="s">
        <v>492</v>
      </c>
      <c r="K5" s="177" t="s">
        <v>496</v>
      </c>
      <c r="L5" s="224" t="s">
        <v>328</v>
      </c>
      <c r="M5" s="177" t="s">
        <v>68</v>
      </c>
      <c r="N5" s="30" t="s">
        <v>68</v>
      </c>
    </row>
    <row r="6" spans="1:14" ht="13.8" x14ac:dyDescent="0.25">
      <c r="A6" s="68" t="str">
        <f>'G-1 All Habitats'!B5</f>
        <v>Cropland - Arable field margins pollen and nectar</v>
      </c>
      <c r="B6" s="404" t="s">
        <v>1048</v>
      </c>
      <c r="C6" s="404" t="s">
        <v>1048</v>
      </c>
      <c r="D6" s="404" t="s">
        <v>1048</v>
      </c>
      <c r="E6" s="404" t="s">
        <v>1048</v>
      </c>
      <c r="F6" s="404" t="s">
        <v>1048</v>
      </c>
      <c r="G6" s="404">
        <v>1</v>
      </c>
      <c r="H6" s="404" t="s">
        <v>1048</v>
      </c>
      <c r="I6" s="30" t="str">
        <f>IF(G6=1,"Cond1",IF(H6=0,"Cond2",IF(AND(B6=3,C6=2.5,D6=2,E6=1.5,F6=1),"Cond4",IF(F6=1,"Cond3","Check"))))</f>
        <v>Cond1</v>
      </c>
      <c r="M6" s="177" t="s">
        <v>472</v>
      </c>
    </row>
    <row r="7" spans="1:14" ht="13.8" x14ac:dyDescent="0.25">
      <c r="A7" s="68" t="str">
        <f>'G-1 All Habitats'!B6</f>
        <v>Cropland - Arable field margins tussocky</v>
      </c>
      <c r="B7" s="404" t="s">
        <v>1048</v>
      </c>
      <c r="C7" s="404" t="s">
        <v>1048</v>
      </c>
      <c r="D7" s="404" t="s">
        <v>1048</v>
      </c>
      <c r="E7" s="404" t="s">
        <v>1048</v>
      </c>
      <c r="F7" s="404" t="s">
        <v>1048</v>
      </c>
      <c r="G7" s="404">
        <v>1</v>
      </c>
      <c r="H7" s="404" t="s">
        <v>1048</v>
      </c>
      <c r="I7" s="30" t="str">
        <f>IF(G7=1,"Cond1",IF(H7=0,"Cond2",IF(AND(B7=3,C7=2.5,D7=2,E7=1.5,F7=1),"Cond4",IF(F7=1,"Cond3","Check"))))</f>
        <v>Cond1</v>
      </c>
      <c r="M7" s="177" t="s">
        <v>67</v>
      </c>
    </row>
    <row r="8" spans="1:14" ht="13.8" x14ac:dyDescent="0.25">
      <c r="A8" s="68" t="str">
        <f>'G-1 All Habitats'!B7</f>
        <v>Cropland - Cereal crops</v>
      </c>
      <c r="B8" s="404" t="s">
        <v>1048</v>
      </c>
      <c r="C8" s="404" t="s">
        <v>1048</v>
      </c>
      <c r="D8" s="404" t="s">
        <v>1048</v>
      </c>
      <c r="E8" s="404" t="s">
        <v>1048</v>
      </c>
      <c r="F8" s="404" t="s">
        <v>1048</v>
      </c>
      <c r="G8" s="404">
        <v>1</v>
      </c>
      <c r="H8" s="404" t="s">
        <v>1048</v>
      </c>
      <c r="I8" s="30" t="str">
        <f>IF(G8=1,"Cond1",IF(H8=0,"Cond2",IF(AND(B8=3,C8=2.5,D8=2,E8=1.5,F8=1),"Cond4",IF(F8=1,"Cond3","Check"))))</f>
        <v>Cond1</v>
      </c>
      <c r="M8" s="177" t="s">
        <v>482</v>
      </c>
    </row>
    <row r="9" spans="1:14" ht="13.8" x14ac:dyDescent="0.25">
      <c r="A9" s="68" t="str">
        <f>'G-1 All Habitats'!B8</f>
        <v>Cropland - Winter stubble</v>
      </c>
      <c r="B9" s="404" t="s">
        <v>1048</v>
      </c>
      <c r="C9" s="404" t="s">
        <v>1048</v>
      </c>
      <c r="D9" s="404" t="s">
        <v>1048</v>
      </c>
      <c r="E9" s="404" t="s">
        <v>1048</v>
      </c>
      <c r="F9" s="404" t="s">
        <v>1048</v>
      </c>
      <c r="G9" s="404">
        <v>1</v>
      </c>
      <c r="H9" s="404" t="s">
        <v>1048</v>
      </c>
      <c r="I9" s="30" t="str">
        <f t="shared" ref="I9:I41" si="0">IF(G9=1,"Cond1",IF(H9=0,"Cond2",IF(AND(B9=3,C9=2.5,D9=2,E9=1.5,F9=1),"Cond4",IF(F9=1,"Cond3","Check"))))</f>
        <v>Cond1</v>
      </c>
      <c r="M9" s="224" t="s">
        <v>328</v>
      </c>
    </row>
    <row r="10" spans="1:14" ht="13.8" x14ac:dyDescent="0.25">
      <c r="A10" s="68" t="str">
        <f>'G-1 All Habitats'!B9</f>
        <v>Cropland - Horticulture</v>
      </c>
      <c r="B10" s="404" t="s">
        <v>1048</v>
      </c>
      <c r="C10" s="404" t="s">
        <v>1048</v>
      </c>
      <c r="D10" s="404" t="s">
        <v>1048</v>
      </c>
      <c r="E10" s="404" t="s">
        <v>1048</v>
      </c>
      <c r="F10" s="404" t="s">
        <v>1048</v>
      </c>
      <c r="G10" s="404">
        <v>1</v>
      </c>
      <c r="H10" s="404" t="s">
        <v>1048</v>
      </c>
      <c r="I10" s="30" t="str">
        <f t="shared" si="0"/>
        <v>Cond1</v>
      </c>
    </row>
    <row r="11" spans="1:14" ht="13.8" x14ac:dyDescent="0.25">
      <c r="A11" s="68" t="str">
        <f>'G-1 All Habitats'!B10</f>
        <v>Cropland - Intensive orchards</v>
      </c>
      <c r="B11" s="404" t="s">
        <v>1048</v>
      </c>
      <c r="C11" s="404" t="s">
        <v>1048</v>
      </c>
      <c r="D11" s="404" t="s">
        <v>1048</v>
      </c>
      <c r="E11" s="404" t="s">
        <v>1048</v>
      </c>
      <c r="F11" s="404" t="s">
        <v>1048</v>
      </c>
      <c r="G11" s="404">
        <v>1</v>
      </c>
      <c r="H11" s="404" t="s">
        <v>1048</v>
      </c>
      <c r="I11" s="30" t="str">
        <f t="shared" si="0"/>
        <v>Cond1</v>
      </c>
    </row>
    <row r="12" spans="1:14" ht="13.8" x14ac:dyDescent="0.25">
      <c r="A12" s="68" t="str">
        <f>'G-1 All Habitats'!B11</f>
        <v>Cropland - Non-cereal crops</v>
      </c>
      <c r="B12" s="404" t="s">
        <v>1048</v>
      </c>
      <c r="C12" s="404" t="s">
        <v>1048</v>
      </c>
      <c r="D12" s="404" t="s">
        <v>1048</v>
      </c>
      <c r="E12" s="404" t="s">
        <v>1048</v>
      </c>
      <c r="F12" s="404" t="s">
        <v>1048</v>
      </c>
      <c r="G12" s="404">
        <v>1</v>
      </c>
      <c r="H12" s="404" t="s">
        <v>1048</v>
      </c>
      <c r="I12" s="30" t="str">
        <f t="shared" si="0"/>
        <v>Cond1</v>
      </c>
    </row>
    <row r="13" spans="1:14" ht="13.8" x14ac:dyDescent="0.25">
      <c r="A13" s="68" t="str">
        <f>'G-1 All Habitats'!B12</f>
        <v>Cropland - Temporary grass and clover leys</v>
      </c>
      <c r="B13" s="404" t="s">
        <v>1048</v>
      </c>
      <c r="C13" s="404" t="s">
        <v>1048</v>
      </c>
      <c r="D13" s="404" t="s">
        <v>1048</v>
      </c>
      <c r="E13" s="404" t="s">
        <v>1048</v>
      </c>
      <c r="F13" s="404" t="s">
        <v>1048</v>
      </c>
      <c r="G13" s="404">
        <v>1</v>
      </c>
      <c r="H13" s="404" t="s">
        <v>1048</v>
      </c>
      <c r="I13" s="30" t="str">
        <f t="shared" si="0"/>
        <v>Cond1</v>
      </c>
    </row>
    <row r="14" spans="1:14" ht="13.8" x14ac:dyDescent="0.25">
      <c r="A14" s="68" t="str">
        <f>'G-1 All Habitats'!B13</f>
        <v>Grassland - Traditional orchards</v>
      </c>
      <c r="B14" s="404">
        <v>3</v>
      </c>
      <c r="C14" s="404">
        <v>2.5</v>
      </c>
      <c r="D14" s="404">
        <v>2</v>
      </c>
      <c r="E14" s="404">
        <v>1.5</v>
      </c>
      <c r="F14" s="404">
        <v>1</v>
      </c>
      <c r="G14" s="404" t="s">
        <v>1048</v>
      </c>
      <c r="H14" s="404" t="s">
        <v>1048</v>
      </c>
      <c r="I14" s="30" t="str">
        <f t="shared" si="0"/>
        <v>Cond4</v>
      </c>
    </row>
    <row r="15" spans="1:14" ht="13.8" x14ac:dyDescent="0.25">
      <c r="A15" s="68" t="str">
        <f>'G-1 All Habitats'!B14</f>
        <v>Grassland - Bracken</v>
      </c>
      <c r="B15" s="404" t="s">
        <v>1048</v>
      </c>
      <c r="C15" s="404" t="s">
        <v>1048</v>
      </c>
      <c r="D15" s="404" t="s">
        <v>1048</v>
      </c>
      <c r="E15" s="404" t="s">
        <v>1048</v>
      </c>
      <c r="F15" s="404" t="s">
        <v>1048</v>
      </c>
      <c r="G15" s="404">
        <v>1</v>
      </c>
      <c r="H15" s="404" t="s">
        <v>1048</v>
      </c>
      <c r="I15" s="30" t="str">
        <f t="shared" si="0"/>
        <v>Cond1</v>
      </c>
    </row>
    <row r="16" spans="1:14" ht="13.8" x14ac:dyDescent="0.25">
      <c r="A16" s="68" t="str">
        <f>'G-1 All Habitats'!B15</f>
        <v>Grassland - Floodplain wetland mosaic and CFGM</v>
      </c>
      <c r="B16" s="404">
        <v>3</v>
      </c>
      <c r="C16" s="404">
        <v>2.5</v>
      </c>
      <c r="D16" s="404">
        <v>2</v>
      </c>
      <c r="E16" s="404">
        <v>1.5</v>
      </c>
      <c r="F16" s="404">
        <v>1</v>
      </c>
      <c r="G16" s="404" t="s">
        <v>1048</v>
      </c>
      <c r="H16" s="404" t="s">
        <v>1048</v>
      </c>
      <c r="I16" s="30" t="str">
        <f t="shared" si="0"/>
        <v>Cond4</v>
      </c>
    </row>
    <row r="17" spans="1:9" ht="13.8" x14ac:dyDescent="0.25">
      <c r="A17" s="68" t="str">
        <f>'G-1 All Habitats'!B16</f>
        <v>Grassland - Lowland calcareous grassland</v>
      </c>
      <c r="B17" s="404">
        <v>3</v>
      </c>
      <c r="C17" s="404">
        <v>2.5</v>
      </c>
      <c r="D17" s="404">
        <v>2</v>
      </c>
      <c r="E17" s="404">
        <v>1.5</v>
      </c>
      <c r="F17" s="404">
        <v>1</v>
      </c>
      <c r="G17" s="404" t="s">
        <v>1048</v>
      </c>
      <c r="H17" s="404" t="s">
        <v>1048</v>
      </c>
      <c r="I17" s="30" t="str">
        <f t="shared" si="0"/>
        <v>Cond4</v>
      </c>
    </row>
    <row r="18" spans="1:9" ht="13.8" x14ac:dyDescent="0.25">
      <c r="A18" s="68" t="str">
        <f>'G-1 All Habitats'!B17</f>
        <v>Grassland - Lowland dry acid grassland</v>
      </c>
      <c r="B18" s="404">
        <v>3</v>
      </c>
      <c r="C18" s="404">
        <v>2.5</v>
      </c>
      <c r="D18" s="404">
        <v>2</v>
      </c>
      <c r="E18" s="404">
        <v>1.5</v>
      </c>
      <c r="F18" s="404">
        <v>1</v>
      </c>
      <c r="G18" s="404" t="s">
        <v>1048</v>
      </c>
      <c r="H18" s="404" t="s">
        <v>1048</v>
      </c>
      <c r="I18" s="30" t="str">
        <f t="shared" si="0"/>
        <v>Cond4</v>
      </c>
    </row>
    <row r="19" spans="1:9" ht="13.8" x14ac:dyDescent="0.25">
      <c r="A19" s="68" t="str">
        <f>'G-1 All Habitats'!B18</f>
        <v>Grassland - Lowland meadows</v>
      </c>
      <c r="B19" s="404">
        <v>3</v>
      </c>
      <c r="C19" s="404">
        <v>2.5</v>
      </c>
      <c r="D19" s="404">
        <v>2</v>
      </c>
      <c r="E19" s="404">
        <v>1.5</v>
      </c>
      <c r="F19" s="404">
        <v>1</v>
      </c>
      <c r="G19" s="404" t="s">
        <v>1048</v>
      </c>
      <c r="H19" s="404" t="s">
        <v>1048</v>
      </c>
      <c r="I19" s="30" t="str">
        <f t="shared" si="0"/>
        <v>Cond4</v>
      </c>
    </row>
    <row r="20" spans="1:9" ht="13.8" x14ac:dyDescent="0.25">
      <c r="A20" s="68" t="str">
        <f>'G-1 All Habitats'!B19</f>
        <v>Grassland - Modified grassland</v>
      </c>
      <c r="B20" s="404">
        <v>3</v>
      </c>
      <c r="C20" s="404">
        <v>2.5</v>
      </c>
      <c r="D20" s="404">
        <v>2</v>
      </c>
      <c r="E20" s="404">
        <v>1.5</v>
      </c>
      <c r="F20" s="404">
        <v>1</v>
      </c>
      <c r="G20" s="404" t="s">
        <v>1048</v>
      </c>
      <c r="H20" s="404" t="s">
        <v>1048</v>
      </c>
      <c r="I20" s="30" t="str">
        <f t="shared" si="0"/>
        <v>Cond4</v>
      </c>
    </row>
    <row r="21" spans="1:9" ht="15" customHeight="1" x14ac:dyDescent="0.25">
      <c r="A21" s="68" t="str">
        <f>'G-1 All Habitats'!B20</f>
        <v>Grassland - Other lowland acid grassland</v>
      </c>
      <c r="B21" s="404">
        <v>3</v>
      </c>
      <c r="C21" s="404">
        <v>2.5</v>
      </c>
      <c r="D21" s="404">
        <v>2</v>
      </c>
      <c r="E21" s="404">
        <v>1.5</v>
      </c>
      <c r="F21" s="404">
        <v>1</v>
      </c>
      <c r="G21" s="404" t="s">
        <v>1048</v>
      </c>
      <c r="H21" s="404" t="s">
        <v>1048</v>
      </c>
      <c r="I21" s="30" t="str">
        <f t="shared" si="0"/>
        <v>Cond4</v>
      </c>
    </row>
    <row r="22" spans="1:9" ht="15" customHeight="1" x14ac:dyDescent="0.25">
      <c r="A22" s="68" t="str">
        <f>'G-1 All Habitats'!B21</f>
        <v>Grassland - Other neutral grassland</v>
      </c>
      <c r="B22" s="404">
        <v>3</v>
      </c>
      <c r="C22" s="404">
        <v>2.5</v>
      </c>
      <c r="D22" s="404">
        <v>2</v>
      </c>
      <c r="E22" s="404">
        <v>1.5</v>
      </c>
      <c r="F22" s="404">
        <v>1</v>
      </c>
      <c r="G22" s="404" t="s">
        <v>1048</v>
      </c>
      <c r="H22" s="404" t="s">
        <v>1048</v>
      </c>
      <c r="I22" s="30" t="str">
        <f t="shared" si="0"/>
        <v>Cond4</v>
      </c>
    </row>
    <row r="23" spans="1:9" ht="15" customHeight="1" x14ac:dyDescent="0.25">
      <c r="A23" s="68" t="str">
        <f>'G-1 All Habitats'!B22</f>
        <v>Grassland - Tall herb communities (H6430)</v>
      </c>
      <c r="B23" s="404">
        <v>3</v>
      </c>
      <c r="C23" s="404">
        <v>2.5</v>
      </c>
      <c r="D23" s="404">
        <v>2</v>
      </c>
      <c r="E23" s="404">
        <v>1.5</v>
      </c>
      <c r="F23" s="404">
        <v>1</v>
      </c>
      <c r="G23" s="404" t="s">
        <v>1048</v>
      </c>
      <c r="H23" s="404" t="s">
        <v>1048</v>
      </c>
      <c r="I23" s="30" t="str">
        <f t="shared" si="0"/>
        <v>Cond4</v>
      </c>
    </row>
    <row r="24" spans="1:9" ht="15" customHeight="1" x14ac:dyDescent="0.25">
      <c r="A24" s="68" t="str">
        <f>'G-1 All Habitats'!B23</f>
        <v>Grassland - Upland acid grassland</v>
      </c>
      <c r="B24" s="404">
        <v>3</v>
      </c>
      <c r="C24" s="404">
        <v>2.5</v>
      </c>
      <c r="D24" s="404">
        <v>2</v>
      </c>
      <c r="E24" s="404">
        <v>1.5</v>
      </c>
      <c r="F24" s="404">
        <v>1</v>
      </c>
      <c r="G24" s="404" t="s">
        <v>1048</v>
      </c>
      <c r="H24" s="404" t="s">
        <v>1048</v>
      </c>
      <c r="I24" s="30" t="str">
        <f t="shared" si="0"/>
        <v>Cond4</v>
      </c>
    </row>
    <row r="25" spans="1:9" ht="15" customHeight="1" x14ac:dyDescent="0.25">
      <c r="A25" s="68" t="str">
        <f>'G-1 All Habitats'!B24</f>
        <v>Grassland - Upland calcareous grassland</v>
      </c>
      <c r="B25" s="404">
        <v>3</v>
      </c>
      <c r="C25" s="404">
        <v>2.5</v>
      </c>
      <c r="D25" s="404">
        <v>2</v>
      </c>
      <c r="E25" s="404">
        <v>1.5</v>
      </c>
      <c r="F25" s="404">
        <v>1</v>
      </c>
      <c r="G25" s="404" t="s">
        <v>1048</v>
      </c>
      <c r="H25" s="404" t="s">
        <v>1048</v>
      </c>
      <c r="I25" s="30" t="str">
        <f t="shared" si="0"/>
        <v>Cond4</v>
      </c>
    </row>
    <row r="26" spans="1:9" ht="15" customHeight="1" x14ac:dyDescent="0.25">
      <c r="A26" s="68" t="str">
        <f>'G-1 All Habitats'!B25</f>
        <v>Grassland - Upland hay meadows</v>
      </c>
      <c r="B26" s="404">
        <v>3</v>
      </c>
      <c r="C26" s="404">
        <v>2.5</v>
      </c>
      <c r="D26" s="404">
        <v>2</v>
      </c>
      <c r="E26" s="404">
        <v>1.5</v>
      </c>
      <c r="F26" s="404">
        <v>1</v>
      </c>
      <c r="G26" s="404" t="s">
        <v>1048</v>
      </c>
      <c r="H26" s="404" t="s">
        <v>1048</v>
      </c>
      <c r="I26" s="30" t="str">
        <f t="shared" si="0"/>
        <v>Cond4</v>
      </c>
    </row>
    <row r="27" spans="1:9" ht="13.8" x14ac:dyDescent="0.25">
      <c r="A27" s="68" t="str">
        <f>'G-1 All Habitats'!B26</f>
        <v>Heathland and shrub - Blackthorn scrub</v>
      </c>
      <c r="B27" s="404">
        <v>3</v>
      </c>
      <c r="C27" s="404">
        <v>2.5</v>
      </c>
      <c r="D27" s="404">
        <v>2</v>
      </c>
      <c r="E27" s="404">
        <v>1.5</v>
      </c>
      <c r="F27" s="404">
        <v>1</v>
      </c>
      <c r="G27" s="404" t="s">
        <v>1048</v>
      </c>
      <c r="H27" s="404" t="s">
        <v>1048</v>
      </c>
      <c r="I27" s="30" t="str">
        <f t="shared" si="0"/>
        <v>Cond4</v>
      </c>
    </row>
    <row r="28" spans="1:9" ht="13.8" x14ac:dyDescent="0.25">
      <c r="A28" s="68" t="str">
        <f>'G-1 All Habitats'!B27</f>
        <v>Heathland and shrub - Bramble scrub</v>
      </c>
      <c r="B28" s="404" t="s">
        <v>1048</v>
      </c>
      <c r="C28" s="404" t="s">
        <v>1048</v>
      </c>
      <c r="D28" s="404" t="s">
        <v>1048</v>
      </c>
      <c r="E28" s="404">
        <v>1.5</v>
      </c>
      <c r="F28" s="404" t="s">
        <v>1048</v>
      </c>
      <c r="G28" s="404">
        <v>1</v>
      </c>
      <c r="H28" s="404" t="s">
        <v>1048</v>
      </c>
      <c r="I28" s="30" t="str">
        <f t="shared" si="0"/>
        <v>Cond1</v>
      </c>
    </row>
    <row r="29" spans="1:9" ht="13.8" x14ac:dyDescent="0.25">
      <c r="A29" s="68" t="str">
        <f>'G-1 All Habitats'!B28</f>
        <v>Heathland and shrub - Gorse scrub</v>
      </c>
      <c r="B29" s="404">
        <v>3</v>
      </c>
      <c r="C29" s="404">
        <v>2.5</v>
      </c>
      <c r="D29" s="404">
        <v>2</v>
      </c>
      <c r="E29" s="404">
        <v>1.5</v>
      </c>
      <c r="F29" s="404">
        <v>1</v>
      </c>
      <c r="G29" s="404" t="s">
        <v>1048</v>
      </c>
      <c r="H29" s="404" t="s">
        <v>1048</v>
      </c>
      <c r="I29" s="30" t="str">
        <f t="shared" si="0"/>
        <v>Cond4</v>
      </c>
    </row>
    <row r="30" spans="1:9" ht="13.8" x14ac:dyDescent="0.25">
      <c r="A30" s="68" t="str">
        <f>'G-1 All Habitats'!B29</f>
        <v>Heathland and shrub - Hawthorn scrub</v>
      </c>
      <c r="B30" s="404">
        <v>3</v>
      </c>
      <c r="C30" s="404">
        <v>2.5</v>
      </c>
      <c r="D30" s="404">
        <v>2</v>
      </c>
      <c r="E30" s="404">
        <v>1.5</v>
      </c>
      <c r="F30" s="404">
        <v>1</v>
      </c>
      <c r="G30" s="404" t="s">
        <v>1048</v>
      </c>
      <c r="H30" s="404" t="s">
        <v>1048</v>
      </c>
      <c r="I30" s="30" t="str">
        <f t="shared" si="0"/>
        <v>Cond4</v>
      </c>
    </row>
    <row r="31" spans="1:9" ht="13.8" x14ac:dyDescent="0.25">
      <c r="A31" s="68" t="str">
        <f>'G-1 All Habitats'!B30</f>
        <v>Heathland and shrub - Hazel scrub</v>
      </c>
      <c r="B31" s="404">
        <v>3</v>
      </c>
      <c r="C31" s="404">
        <v>2.5</v>
      </c>
      <c r="D31" s="404">
        <v>2</v>
      </c>
      <c r="E31" s="404">
        <v>1.5</v>
      </c>
      <c r="F31" s="404">
        <v>1</v>
      </c>
      <c r="G31" s="404" t="s">
        <v>1048</v>
      </c>
      <c r="H31" s="404" t="s">
        <v>1048</v>
      </c>
      <c r="I31" s="30" t="str">
        <f t="shared" si="0"/>
        <v>Cond4</v>
      </c>
    </row>
    <row r="32" spans="1:9" ht="13.8" x14ac:dyDescent="0.25">
      <c r="A32" s="68" t="str">
        <f>'G-1 All Habitats'!B31</f>
        <v>Heathland and shrub - Lowland heathland</v>
      </c>
      <c r="B32" s="404">
        <v>3</v>
      </c>
      <c r="C32" s="404">
        <v>2.5</v>
      </c>
      <c r="D32" s="404">
        <v>2</v>
      </c>
      <c r="E32" s="404">
        <v>1.5</v>
      </c>
      <c r="F32" s="404">
        <v>1</v>
      </c>
      <c r="G32" s="404" t="s">
        <v>1048</v>
      </c>
      <c r="H32" s="404" t="s">
        <v>1048</v>
      </c>
      <c r="I32" s="30" t="str">
        <f t="shared" si="0"/>
        <v>Cond4</v>
      </c>
    </row>
    <row r="33" spans="1:9" ht="13.8" x14ac:dyDescent="0.25">
      <c r="A33" s="68" t="str">
        <f>'G-1 All Habitats'!B32</f>
        <v>Heathland and shrub - Mixed scrub</v>
      </c>
      <c r="B33" s="404">
        <v>3</v>
      </c>
      <c r="C33" s="404">
        <v>2.5</v>
      </c>
      <c r="D33" s="404">
        <v>2</v>
      </c>
      <c r="E33" s="404">
        <v>1.5</v>
      </c>
      <c r="F33" s="404">
        <v>1</v>
      </c>
      <c r="G33" s="404" t="s">
        <v>1048</v>
      </c>
      <c r="H33" s="404" t="s">
        <v>1048</v>
      </c>
      <c r="I33" s="30" t="str">
        <f t="shared" si="0"/>
        <v>Cond4</v>
      </c>
    </row>
    <row r="34" spans="1:9" ht="13.8" x14ac:dyDescent="0.25">
      <c r="A34" s="68" t="str">
        <f>'G-1 All Habitats'!B33</f>
        <v>Heathland and shrub - Mountain heaths and willow scrub</v>
      </c>
      <c r="B34" s="404">
        <v>3</v>
      </c>
      <c r="C34" s="404">
        <v>2.5</v>
      </c>
      <c r="D34" s="404">
        <v>2</v>
      </c>
      <c r="E34" s="404">
        <v>1.5</v>
      </c>
      <c r="F34" s="404">
        <v>1</v>
      </c>
      <c r="G34" s="404" t="s">
        <v>1048</v>
      </c>
      <c r="H34" s="404" t="s">
        <v>1048</v>
      </c>
      <c r="I34" s="30" t="str">
        <f t="shared" si="0"/>
        <v>Cond4</v>
      </c>
    </row>
    <row r="35" spans="1:9" ht="13.8" x14ac:dyDescent="0.25">
      <c r="A35" s="68" t="str">
        <f>'G-1 All Habitats'!B34</f>
        <v>Heathland and shrub - Rhododendron scrub</v>
      </c>
      <c r="B35" s="404" t="s">
        <v>1048</v>
      </c>
      <c r="C35" s="404" t="s">
        <v>1048</v>
      </c>
      <c r="D35" s="404" t="s">
        <v>1048</v>
      </c>
      <c r="E35" s="404" t="s">
        <v>1048</v>
      </c>
      <c r="F35" s="404" t="s">
        <v>1048</v>
      </c>
      <c r="G35" s="404">
        <v>1</v>
      </c>
      <c r="H35" s="404" t="s">
        <v>1048</v>
      </c>
      <c r="I35" s="30" t="str">
        <f t="shared" si="0"/>
        <v>Cond1</v>
      </c>
    </row>
    <row r="36" spans="1:9" ht="13.8" x14ac:dyDescent="0.25">
      <c r="A36" s="68" t="str">
        <f>'G-1 All Habitats'!B35</f>
        <v>Heathland and shrub - Dunes with sea buckthorn (H2160)</v>
      </c>
      <c r="B36" s="404">
        <v>3</v>
      </c>
      <c r="C36" s="404">
        <v>2.5</v>
      </c>
      <c r="D36" s="404">
        <v>2</v>
      </c>
      <c r="E36" s="404">
        <v>1.5</v>
      </c>
      <c r="F36" s="404">
        <v>1</v>
      </c>
      <c r="G36" s="404" t="s">
        <v>1048</v>
      </c>
      <c r="H36" s="404" t="s">
        <v>1048</v>
      </c>
      <c r="I36" s="30" t="str">
        <f t="shared" si="0"/>
        <v>Cond4</v>
      </c>
    </row>
    <row r="37" spans="1:9" ht="13.8" x14ac:dyDescent="0.25">
      <c r="A37" s="68" t="str">
        <f>'G-1 All Habitats'!B36</f>
        <v>Heathland and shrub - Other sea buckthorn scrub</v>
      </c>
      <c r="B37" s="404" t="s">
        <v>1048</v>
      </c>
      <c r="C37" s="404" t="s">
        <v>1048</v>
      </c>
      <c r="D37" s="404" t="s">
        <v>1048</v>
      </c>
      <c r="E37" s="404" t="s">
        <v>1048</v>
      </c>
      <c r="F37" s="404" t="s">
        <v>1048</v>
      </c>
      <c r="G37" s="404">
        <v>1</v>
      </c>
      <c r="H37" s="404" t="s">
        <v>1048</v>
      </c>
      <c r="I37" s="30" t="str">
        <f t="shared" si="0"/>
        <v>Cond1</v>
      </c>
    </row>
    <row r="38" spans="1:9" ht="13.8" x14ac:dyDescent="0.25">
      <c r="A38" s="68" t="s">
        <v>606</v>
      </c>
      <c r="B38" s="404">
        <v>3</v>
      </c>
      <c r="C38" s="404">
        <v>2.5</v>
      </c>
      <c r="D38" s="404">
        <v>2</v>
      </c>
      <c r="E38" s="404">
        <v>1.5</v>
      </c>
      <c r="F38" s="404">
        <v>1</v>
      </c>
      <c r="G38" s="404" t="s">
        <v>1048</v>
      </c>
      <c r="H38" s="404" t="s">
        <v>1048</v>
      </c>
      <c r="I38" s="30" t="str">
        <f t="shared" si="0"/>
        <v>Cond4</v>
      </c>
    </row>
    <row r="39" spans="1:9" ht="13.8" x14ac:dyDescent="0.25">
      <c r="A39" s="68" t="str">
        <f>'G-1 All Habitats'!B38</f>
        <v>Heathland and shrub - Upland heathland</v>
      </c>
      <c r="B39" s="404">
        <v>3</v>
      </c>
      <c r="C39" s="404">
        <v>2.5</v>
      </c>
      <c r="D39" s="404">
        <v>2</v>
      </c>
      <c r="E39" s="404">
        <v>1.5</v>
      </c>
      <c r="F39" s="404">
        <v>1</v>
      </c>
      <c r="G39" s="404" t="s">
        <v>1048</v>
      </c>
      <c r="H39" s="404" t="s">
        <v>1048</v>
      </c>
      <c r="I39" s="30" t="str">
        <f t="shared" si="0"/>
        <v>Cond4</v>
      </c>
    </row>
    <row r="40" spans="1:9" ht="13.8" x14ac:dyDescent="0.25">
      <c r="A40" s="68" t="str">
        <f>'G-1 All Habitats'!B39</f>
        <v>Lakes - Aquifer fed naturally fluctuating water bodies</v>
      </c>
      <c r="B40" s="404">
        <v>3</v>
      </c>
      <c r="C40" s="404">
        <v>2.5</v>
      </c>
      <c r="D40" s="404">
        <v>2</v>
      </c>
      <c r="E40" s="404">
        <v>1.5</v>
      </c>
      <c r="F40" s="404">
        <v>1</v>
      </c>
      <c r="G40" s="404" t="s">
        <v>1048</v>
      </c>
      <c r="H40" s="404" t="s">
        <v>1048</v>
      </c>
      <c r="I40" s="30" t="str">
        <f t="shared" si="0"/>
        <v>Cond4</v>
      </c>
    </row>
    <row r="41" spans="1:9" ht="13.8" x14ac:dyDescent="0.25">
      <c r="A41" s="68" t="str">
        <f>'G-1 All Habitats'!B41</f>
        <v>Lakes - High alkalinity lakes</v>
      </c>
      <c r="B41" s="404">
        <v>3</v>
      </c>
      <c r="C41" s="404">
        <v>2.5</v>
      </c>
      <c r="D41" s="404">
        <v>2</v>
      </c>
      <c r="E41" s="404">
        <v>1.5</v>
      </c>
      <c r="F41" s="404">
        <v>1</v>
      </c>
      <c r="G41" s="404" t="s">
        <v>1048</v>
      </c>
      <c r="H41" s="404" t="s">
        <v>1048</v>
      </c>
      <c r="I41" s="30" t="str">
        <f t="shared" si="0"/>
        <v>Cond4</v>
      </c>
    </row>
    <row r="42" spans="1:9" ht="13.8" x14ac:dyDescent="0.25">
      <c r="A42" s="68" t="str">
        <f>'G-1 All Habitats'!B42</f>
        <v>Lakes - Low alkalinity lakes</v>
      </c>
      <c r="B42" s="404">
        <v>3</v>
      </c>
      <c r="C42" s="404">
        <v>2.5</v>
      </c>
      <c r="D42" s="404">
        <v>2</v>
      </c>
      <c r="E42" s="404">
        <v>1.5</v>
      </c>
      <c r="F42" s="404">
        <v>1</v>
      </c>
      <c r="G42" s="404" t="s">
        <v>1048</v>
      </c>
      <c r="H42" s="404" t="s">
        <v>1048</v>
      </c>
      <c r="I42" s="30" t="str">
        <f t="shared" ref="I42:I74" si="1">IF(G42=1,"Cond1",IF(H42=0,"Cond2",IF(AND(B42=3,C42=2.5,D42=2,E42=1.5,F42=1),"Cond4",IF(F42=1,"Cond3","Check"))))</f>
        <v>Cond4</v>
      </c>
    </row>
    <row r="43" spans="1:9" ht="13.8" x14ac:dyDescent="0.25">
      <c r="A43" s="68" t="str">
        <f>'G-1 All Habitats'!B43</f>
        <v>Lakes - Marl lakes</v>
      </c>
      <c r="B43" s="404">
        <v>3</v>
      </c>
      <c r="C43" s="404">
        <v>2.5</v>
      </c>
      <c r="D43" s="404">
        <v>2</v>
      </c>
      <c r="E43" s="404">
        <v>1.5</v>
      </c>
      <c r="F43" s="404">
        <v>1</v>
      </c>
      <c r="G43" s="404" t="s">
        <v>1048</v>
      </c>
      <c r="H43" s="404" t="s">
        <v>1048</v>
      </c>
      <c r="I43" s="30" t="str">
        <f t="shared" si="1"/>
        <v>Cond4</v>
      </c>
    </row>
    <row r="44" spans="1:9" ht="13.8" x14ac:dyDescent="0.25">
      <c r="A44" s="68" t="str">
        <f>'G-1 All Habitats'!B44</f>
        <v>Lakes - Moderate alkalinity lakes</v>
      </c>
      <c r="B44" s="404">
        <v>3</v>
      </c>
      <c r="C44" s="404">
        <v>2.5</v>
      </c>
      <c r="D44" s="404">
        <v>2</v>
      </c>
      <c r="E44" s="404">
        <v>1.5</v>
      </c>
      <c r="F44" s="404">
        <v>1</v>
      </c>
      <c r="G44" s="404" t="s">
        <v>1048</v>
      </c>
      <c r="H44" s="404" t="s">
        <v>1048</v>
      </c>
      <c r="I44" s="30" t="str">
        <f t="shared" si="1"/>
        <v>Cond4</v>
      </c>
    </row>
    <row r="45" spans="1:9" ht="13.8" x14ac:dyDescent="0.25">
      <c r="A45" s="68" t="str">
        <f>'G-1 All Habitats'!B45</f>
        <v>Lakes - Peat lakes</v>
      </c>
      <c r="B45" s="404">
        <v>3</v>
      </c>
      <c r="C45" s="404">
        <v>2.5</v>
      </c>
      <c r="D45" s="404">
        <v>2</v>
      </c>
      <c r="E45" s="404">
        <v>1.5</v>
      </c>
      <c r="F45" s="404">
        <v>1</v>
      </c>
      <c r="G45" s="404" t="s">
        <v>1048</v>
      </c>
      <c r="H45" s="404" t="s">
        <v>1048</v>
      </c>
      <c r="I45" s="30" t="str">
        <f t="shared" si="1"/>
        <v>Cond4</v>
      </c>
    </row>
    <row r="46" spans="1:9" ht="13.8" x14ac:dyDescent="0.25">
      <c r="A46" s="68" t="str">
        <f>'G-1 All Habitats'!B46</f>
        <v>Lakes - Ponds (priority habitat)</v>
      </c>
      <c r="B46" s="404">
        <v>3</v>
      </c>
      <c r="C46" s="404">
        <v>2.5</v>
      </c>
      <c r="D46" s="404">
        <v>2</v>
      </c>
      <c r="E46" s="404">
        <v>1.5</v>
      </c>
      <c r="F46" s="404">
        <v>1</v>
      </c>
      <c r="G46" s="404" t="s">
        <v>1048</v>
      </c>
      <c r="H46" s="404" t="s">
        <v>1048</v>
      </c>
      <c r="I46" s="30" t="str">
        <f t="shared" si="1"/>
        <v>Cond4</v>
      </c>
    </row>
    <row r="47" spans="1:9" ht="13.8" x14ac:dyDescent="0.25">
      <c r="A47" s="68" t="str">
        <f>'G-1 All Habitats'!B47</f>
        <v>Lakes - Ponds (non-priority habitat)</v>
      </c>
      <c r="B47" s="404">
        <v>3</v>
      </c>
      <c r="C47" s="404">
        <v>2.5</v>
      </c>
      <c r="D47" s="404">
        <v>2</v>
      </c>
      <c r="E47" s="404">
        <v>1.5</v>
      </c>
      <c r="F47" s="404">
        <v>1</v>
      </c>
      <c r="G47" s="404" t="s">
        <v>1048</v>
      </c>
      <c r="H47" s="404" t="s">
        <v>1048</v>
      </c>
      <c r="I47" s="30" t="str">
        <f t="shared" si="1"/>
        <v>Cond4</v>
      </c>
    </row>
    <row r="48" spans="1:9" ht="13.8" x14ac:dyDescent="0.25">
      <c r="A48" s="68" t="str">
        <f>'G-1 All Habitats'!B48</f>
        <v>Lakes - Reservoirs</v>
      </c>
      <c r="B48" s="404">
        <v>3</v>
      </c>
      <c r="C48" s="404">
        <v>2.5</v>
      </c>
      <c r="D48" s="404">
        <v>2</v>
      </c>
      <c r="E48" s="404">
        <v>1.5</v>
      </c>
      <c r="F48" s="404">
        <v>1</v>
      </c>
      <c r="G48" s="404" t="s">
        <v>1048</v>
      </c>
      <c r="H48" s="404" t="s">
        <v>1048</v>
      </c>
      <c r="I48" s="30" t="str">
        <f t="shared" si="1"/>
        <v>Cond4</v>
      </c>
    </row>
    <row r="49" spans="1:9" ht="13.8" x14ac:dyDescent="0.25">
      <c r="A49" s="68" t="str">
        <f>'G-1 All Habitats'!B49</f>
        <v>Lakes - Temporary lakes ponds and pools (H3170)</v>
      </c>
      <c r="B49" s="404">
        <v>3</v>
      </c>
      <c r="C49" s="404">
        <v>2.5</v>
      </c>
      <c r="D49" s="404">
        <v>2</v>
      </c>
      <c r="E49" s="404">
        <v>1.5</v>
      </c>
      <c r="F49" s="404">
        <v>1</v>
      </c>
      <c r="G49" s="404" t="s">
        <v>1048</v>
      </c>
      <c r="H49" s="404" t="s">
        <v>1048</v>
      </c>
      <c r="I49" s="30" t="str">
        <f t="shared" si="1"/>
        <v>Cond4</v>
      </c>
    </row>
    <row r="50" spans="1:9" ht="13.8" x14ac:dyDescent="0.25">
      <c r="A50" s="68" t="str">
        <f>'G-1 All Habitats'!B50</f>
        <v>Sparsely vegetated land - Calaminarian grasslands</v>
      </c>
      <c r="B50" s="404">
        <v>3</v>
      </c>
      <c r="C50" s="404">
        <v>2.5</v>
      </c>
      <c r="D50" s="404">
        <v>2</v>
      </c>
      <c r="E50" s="404">
        <v>1.5</v>
      </c>
      <c r="F50" s="404">
        <v>1</v>
      </c>
      <c r="G50" s="404" t="s">
        <v>1048</v>
      </c>
      <c r="H50" s="404" t="s">
        <v>1048</v>
      </c>
      <c r="I50" s="30" t="str">
        <f t="shared" si="1"/>
        <v>Cond4</v>
      </c>
    </row>
    <row r="51" spans="1:9" ht="13.8" x14ac:dyDescent="0.25">
      <c r="A51" s="68" t="str">
        <f>'G-1 All Habitats'!B51</f>
        <v>Sparsely vegetated land - Coastal sand dunes</v>
      </c>
      <c r="B51" s="404">
        <v>3</v>
      </c>
      <c r="C51" s="404">
        <v>2.5</v>
      </c>
      <c r="D51" s="404">
        <v>2</v>
      </c>
      <c r="E51" s="404">
        <v>1.5</v>
      </c>
      <c r="F51" s="404">
        <v>1</v>
      </c>
      <c r="G51" s="404" t="s">
        <v>1048</v>
      </c>
      <c r="H51" s="404" t="s">
        <v>1048</v>
      </c>
      <c r="I51" s="30" t="str">
        <f t="shared" si="1"/>
        <v>Cond4</v>
      </c>
    </row>
    <row r="52" spans="1:9" ht="13.8" x14ac:dyDescent="0.25">
      <c r="A52" s="68" t="str">
        <f>'G-1 All Habitats'!B52</f>
        <v>Sparsely vegetated land - Coastal vegetated shingle</v>
      </c>
      <c r="B52" s="404">
        <v>3</v>
      </c>
      <c r="C52" s="404">
        <v>2.5</v>
      </c>
      <c r="D52" s="404">
        <v>2</v>
      </c>
      <c r="E52" s="404">
        <v>1.5</v>
      </c>
      <c r="F52" s="404">
        <v>1</v>
      </c>
      <c r="G52" s="404" t="s">
        <v>1048</v>
      </c>
      <c r="H52" s="404" t="s">
        <v>1048</v>
      </c>
      <c r="I52" s="30" t="str">
        <f t="shared" si="1"/>
        <v>Cond4</v>
      </c>
    </row>
    <row r="53" spans="1:9" ht="13.8" x14ac:dyDescent="0.25">
      <c r="A53" s="68" t="str">
        <f>'G-1 All Habitats'!B53</f>
        <v>Sparsely vegetated land - Ruderal/Ephemeral</v>
      </c>
      <c r="B53" s="404">
        <v>3</v>
      </c>
      <c r="C53" s="404">
        <v>2.5</v>
      </c>
      <c r="D53" s="404">
        <v>2</v>
      </c>
      <c r="E53" s="404">
        <v>1.5</v>
      </c>
      <c r="F53" s="404">
        <v>1</v>
      </c>
      <c r="G53" s="404" t="s">
        <v>1048</v>
      </c>
      <c r="H53" s="404" t="s">
        <v>1048</v>
      </c>
      <c r="I53" s="30" t="str">
        <f t="shared" si="1"/>
        <v>Cond4</v>
      </c>
    </row>
    <row r="54" spans="1:9" ht="13.8" x14ac:dyDescent="0.25">
      <c r="A54" s="68" t="s">
        <v>664</v>
      </c>
      <c r="B54" s="404">
        <v>3</v>
      </c>
      <c r="C54" s="404">
        <v>2.5</v>
      </c>
      <c r="D54" s="404">
        <v>2</v>
      </c>
      <c r="E54" s="404">
        <v>1.5</v>
      </c>
      <c r="F54" s="404">
        <v>1</v>
      </c>
      <c r="G54" s="404" t="s">
        <v>1048</v>
      </c>
      <c r="H54" s="404" t="s">
        <v>1048</v>
      </c>
      <c r="I54" s="30" t="str">
        <f t="shared" si="1"/>
        <v>Cond4</v>
      </c>
    </row>
    <row r="55" spans="1:9" ht="13.8" x14ac:dyDescent="0.25">
      <c r="A55" s="68" t="str">
        <f>'G-1 All Habitats'!B55</f>
        <v>Sparsely vegetated land - Inland rock outcrop and scree habitats</v>
      </c>
      <c r="B55" s="404">
        <v>3</v>
      </c>
      <c r="C55" s="404">
        <v>2.5</v>
      </c>
      <c r="D55" s="404">
        <v>2</v>
      </c>
      <c r="E55" s="404">
        <v>1.5</v>
      </c>
      <c r="F55" s="404">
        <v>1</v>
      </c>
      <c r="G55" s="404" t="s">
        <v>1048</v>
      </c>
      <c r="H55" s="404" t="s">
        <v>1048</v>
      </c>
      <c r="I55" s="30" t="str">
        <f t="shared" si="1"/>
        <v>Cond4</v>
      </c>
    </row>
    <row r="56" spans="1:9" ht="13.8" x14ac:dyDescent="0.25">
      <c r="A56" s="68" t="str">
        <f>'G-1 All Habitats'!B56</f>
        <v>Sparsely vegetated land - Limestone pavement</v>
      </c>
      <c r="B56" s="404">
        <v>3</v>
      </c>
      <c r="C56" s="404">
        <v>2.5</v>
      </c>
      <c r="D56" s="404">
        <v>2</v>
      </c>
      <c r="E56" s="404">
        <v>1.5</v>
      </c>
      <c r="F56" s="404">
        <v>1</v>
      </c>
      <c r="G56" s="404" t="s">
        <v>1048</v>
      </c>
      <c r="H56" s="404" t="s">
        <v>1048</v>
      </c>
      <c r="I56" s="30" t="str">
        <f t="shared" si="1"/>
        <v>Cond4</v>
      </c>
    </row>
    <row r="57" spans="1:9" ht="13.8" x14ac:dyDescent="0.25">
      <c r="A57" s="68" t="str">
        <f>'G-1 All Habitats'!B57</f>
        <v>Sparsely vegetated land - Maritime cliff and slopes</v>
      </c>
      <c r="B57" s="404">
        <v>3</v>
      </c>
      <c r="C57" s="404">
        <v>2.5</v>
      </c>
      <c r="D57" s="404">
        <v>2</v>
      </c>
      <c r="E57" s="404">
        <v>1.5</v>
      </c>
      <c r="F57" s="404">
        <v>1</v>
      </c>
      <c r="G57" s="404" t="s">
        <v>1048</v>
      </c>
      <c r="H57" s="404" t="s">
        <v>1048</v>
      </c>
      <c r="I57" s="30" t="str">
        <f t="shared" si="1"/>
        <v>Cond4</v>
      </c>
    </row>
    <row r="58" spans="1:9" ht="13.8" x14ac:dyDescent="0.25">
      <c r="A58" s="68" t="str">
        <f>'G-1 All Habitats'!B58</f>
        <v>Sparsely vegetated land - Other inland rock and scree</v>
      </c>
      <c r="B58" s="404">
        <v>3</v>
      </c>
      <c r="C58" s="404">
        <v>2.5</v>
      </c>
      <c r="D58" s="404">
        <v>2</v>
      </c>
      <c r="E58" s="404">
        <v>1.5</v>
      </c>
      <c r="F58" s="404">
        <v>1</v>
      </c>
      <c r="G58" s="404" t="s">
        <v>1048</v>
      </c>
      <c r="H58" s="404" t="s">
        <v>1048</v>
      </c>
      <c r="I58" s="30" t="str">
        <f t="shared" si="1"/>
        <v>Cond4</v>
      </c>
    </row>
    <row r="59" spans="1:9" ht="13.8" x14ac:dyDescent="0.25">
      <c r="A59" s="68" t="str">
        <f>'G-1 All Habitats'!B59</f>
        <v>Urban - Allotments</v>
      </c>
      <c r="B59" s="404">
        <v>3</v>
      </c>
      <c r="C59" s="404">
        <v>2.5</v>
      </c>
      <c r="D59" s="404">
        <v>2</v>
      </c>
      <c r="E59" s="404">
        <v>1.5</v>
      </c>
      <c r="F59" s="404">
        <v>1</v>
      </c>
      <c r="G59" s="404" t="s">
        <v>1048</v>
      </c>
      <c r="H59" s="404" t="s">
        <v>1048</v>
      </c>
      <c r="I59" s="30" t="str">
        <f t="shared" si="1"/>
        <v>Cond4</v>
      </c>
    </row>
    <row r="60" spans="1:9" ht="13.8" x14ac:dyDescent="0.25">
      <c r="A60" s="68" t="str">
        <f>'G-1 All Habitats'!B40</f>
        <v>Lakes - Ornamental lake or pond</v>
      </c>
      <c r="B60" s="404">
        <v>3</v>
      </c>
      <c r="C60" s="404">
        <v>2.5</v>
      </c>
      <c r="D60" s="404">
        <v>2</v>
      </c>
      <c r="E60" s="404">
        <v>1.5</v>
      </c>
      <c r="F60" s="404">
        <v>1</v>
      </c>
      <c r="G60" s="404" t="s">
        <v>1048</v>
      </c>
      <c r="H60" s="404" t="s">
        <v>1048</v>
      </c>
      <c r="I60" s="30" t="str">
        <f t="shared" si="1"/>
        <v>Cond4</v>
      </c>
    </row>
    <row r="61" spans="1:9" ht="13.8" x14ac:dyDescent="0.25">
      <c r="A61" s="68" t="str">
        <f>'G-1 All Habitats'!B60</f>
        <v>Urban - Artificial unvegetated, unsealed surface</v>
      </c>
      <c r="B61" s="404" t="s">
        <v>1048</v>
      </c>
      <c r="C61" s="404" t="s">
        <v>1048</v>
      </c>
      <c r="D61" s="404" t="s">
        <v>1048</v>
      </c>
      <c r="E61" s="404" t="s">
        <v>1048</v>
      </c>
      <c r="F61" s="404" t="s">
        <v>1048</v>
      </c>
      <c r="G61" s="404" t="s">
        <v>1048</v>
      </c>
      <c r="H61" s="440">
        <v>0</v>
      </c>
      <c r="I61" s="30" t="str">
        <f t="shared" si="1"/>
        <v>Cond2</v>
      </c>
    </row>
    <row r="62" spans="1:9" ht="13.8" x14ac:dyDescent="0.25">
      <c r="A62" s="68" t="str">
        <f>'G-1 All Habitats'!B61</f>
        <v>Urban - Bioswale</v>
      </c>
      <c r="B62" s="404">
        <v>3</v>
      </c>
      <c r="C62" s="404">
        <v>2.5</v>
      </c>
      <c r="D62" s="404">
        <v>2</v>
      </c>
      <c r="E62" s="404">
        <v>1.5</v>
      </c>
      <c r="F62" s="404">
        <v>1</v>
      </c>
      <c r="G62" s="404" t="s">
        <v>1048</v>
      </c>
      <c r="H62" s="404" t="s">
        <v>1048</v>
      </c>
      <c r="I62" s="30" t="str">
        <f t="shared" si="1"/>
        <v>Cond4</v>
      </c>
    </row>
    <row r="63" spans="1:9" ht="13.8" x14ac:dyDescent="0.25">
      <c r="A63" s="68" t="str">
        <f>'G-1 All Habitats'!B62</f>
        <v>Urban - Intensive green roof</v>
      </c>
      <c r="B63" s="404">
        <v>3</v>
      </c>
      <c r="C63" s="404">
        <v>2.5</v>
      </c>
      <c r="D63" s="404">
        <v>2</v>
      </c>
      <c r="E63" s="404">
        <v>1.5</v>
      </c>
      <c r="F63" s="404">
        <v>1</v>
      </c>
      <c r="G63" s="404" t="s">
        <v>1048</v>
      </c>
      <c r="H63" s="404" t="s">
        <v>1048</v>
      </c>
      <c r="I63" s="30" t="str">
        <f t="shared" si="1"/>
        <v>Cond4</v>
      </c>
    </row>
    <row r="64" spans="1:9" ht="13.8" x14ac:dyDescent="0.25">
      <c r="A64" s="68" t="str">
        <f>'G-1 All Habitats'!B63</f>
        <v>Urban - Built linear features</v>
      </c>
      <c r="B64" s="404" t="s">
        <v>1048</v>
      </c>
      <c r="C64" s="404" t="s">
        <v>1048</v>
      </c>
      <c r="D64" s="404" t="s">
        <v>1048</v>
      </c>
      <c r="E64" s="404" t="s">
        <v>1048</v>
      </c>
      <c r="F64" s="404" t="s">
        <v>1048</v>
      </c>
      <c r="G64" s="404" t="s">
        <v>1048</v>
      </c>
      <c r="H64" s="440">
        <v>0</v>
      </c>
      <c r="I64" s="30" t="str">
        <f t="shared" si="1"/>
        <v>Cond2</v>
      </c>
    </row>
    <row r="65" spans="1:9" ht="13.8" x14ac:dyDescent="0.25">
      <c r="A65" s="68" t="str">
        <f>'G-1 All Habitats'!B64</f>
        <v>Urban - Cemeteries and churchyards</v>
      </c>
      <c r="B65" s="404">
        <v>3</v>
      </c>
      <c r="C65" s="404">
        <v>2.5</v>
      </c>
      <c r="D65" s="404">
        <v>2</v>
      </c>
      <c r="E65" s="404">
        <v>1.5</v>
      </c>
      <c r="F65" s="404">
        <v>1</v>
      </c>
      <c r="G65" s="404" t="s">
        <v>1048</v>
      </c>
      <c r="H65" s="404" t="s">
        <v>1048</v>
      </c>
      <c r="I65" s="30" t="str">
        <f t="shared" si="1"/>
        <v>Cond4</v>
      </c>
    </row>
    <row r="66" spans="1:9" ht="13.8" x14ac:dyDescent="0.25">
      <c r="A66" s="68" t="str">
        <f>'G-1 All Habitats'!B65</f>
        <v>Urban - Developed land; sealed surface</v>
      </c>
      <c r="B66" s="404" t="s">
        <v>1048</v>
      </c>
      <c r="C66" s="404" t="s">
        <v>1048</v>
      </c>
      <c r="D66" s="404" t="s">
        <v>1048</v>
      </c>
      <c r="E66" s="404" t="s">
        <v>1048</v>
      </c>
      <c r="F66" s="404" t="s">
        <v>1048</v>
      </c>
      <c r="G66" s="404" t="s">
        <v>1048</v>
      </c>
      <c r="H66" s="440">
        <v>0</v>
      </c>
      <c r="I66" s="30" t="str">
        <f t="shared" si="1"/>
        <v>Cond2</v>
      </c>
    </row>
    <row r="67" spans="1:9" ht="13.8" x14ac:dyDescent="0.25">
      <c r="A67" s="68" t="str">
        <f>'G-1 All Habitats'!B66</f>
        <v>Urban - Other green roof</v>
      </c>
      <c r="B67" s="404" t="s">
        <v>1048</v>
      </c>
      <c r="C67" s="404" t="s">
        <v>1048</v>
      </c>
      <c r="D67" s="404" t="s">
        <v>1048</v>
      </c>
      <c r="E67" s="404" t="s">
        <v>1048</v>
      </c>
      <c r="F67" s="404" t="s">
        <v>1048</v>
      </c>
      <c r="G67" s="404">
        <v>1</v>
      </c>
      <c r="H67" s="404" t="s">
        <v>1048</v>
      </c>
      <c r="I67" s="30" t="str">
        <f t="shared" si="1"/>
        <v>Cond1</v>
      </c>
    </row>
    <row r="68" spans="1:9" ht="13.8" x14ac:dyDescent="0.25">
      <c r="A68" s="68" t="str">
        <f>'G-1 All Habitats'!B67</f>
        <v>Urban - Facade-bound green wall</v>
      </c>
      <c r="B68" s="404">
        <v>3</v>
      </c>
      <c r="C68" s="404">
        <v>2.5</v>
      </c>
      <c r="D68" s="404">
        <v>2</v>
      </c>
      <c r="E68" s="404">
        <v>1.5</v>
      </c>
      <c r="F68" s="404">
        <v>1</v>
      </c>
      <c r="G68" s="404" t="s">
        <v>1048</v>
      </c>
      <c r="H68" s="404" t="s">
        <v>1048</v>
      </c>
      <c r="I68" s="30" t="str">
        <f t="shared" si="1"/>
        <v>Cond4</v>
      </c>
    </row>
    <row r="69" spans="1:9" ht="13.8" x14ac:dyDescent="0.25">
      <c r="A69" s="68" t="str">
        <f>'G-1 All Habitats'!B68</f>
        <v>Urban - Ground based green wall</v>
      </c>
      <c r="B69" s="404">
        <v>3</v>
      </c>
      <c r="C69" s="404">
        <v>2.5</v>
      </c>
      <c r="D69" s="404">
        <v>2</v>
      </c>
      <c r="E69" s="404">
        <v>1.5</v>
      </c>
      <c r="F69" s="404">
        <v>1</v>
      </c>
      <c r="G69" s="404" t="s">
        <v>1048</v>
      </c>
      <c r="H69" s="404" t="s">
        <v>1048</v>
      </c>
      <c r="I69" s="30" t="str">
        <f t="shared" si="1"/>
        <v>Cond4</v>
      </c>
    </row>
    <row r="70" spans="1:9" ht="13.8" x14ac:dyDescent="0.25">
      <c r="A70" s="68" t="str">
        <f>'G-1 All Habitats'!B69</f>
        <v>Urban - Ground level planters</v>
      </c>
      <c r="B70" s="404" t="s">
        <v>1048</v>
      </c>
      <c r="C70" s="404" t="s">
        <v>1048</v>
      </c>
      <c r="D70" s="404" t="s">
        <v>1048</v>
      </c>
      <c r="E70" s="404" t="s">
        <v>1048</v>
      </c>
      <c r="F70" s="404" t="s">
        <v>1048</v>
      </c>
      <c r="G70" s="404">
        <v>1</v>
      </c>
      <c r="H70" s="404" t="s">
        <v>1048</v>
      </c>
      <c r="I70" s="30" t="str">
        <f t="shared" si="1"/>
        <v>Cond1</v>
      </c>
    </row>
    <row r="71" spans="1:9" ht="13.8" x14ac:dyDescent="0.25">
      <c r="A71" s="68" t="str">
        <f>'G-1 All Habitats'!B70</f>
        <v>Urban - Biodiverse green roof</v>
      </c>
      <c r="B71" s="404">
        <v>3</v>
      </c>
      <c r="C71" s="404">
        <v>2.5</v>
      </c>
      <c r="D71" s="404">
        <v>2</v>
      </c>
      <c r="E71" s="404">
        <v>1.5</v>
      </c>
      <c r="F71" s="404">
        <v>1</v>
      </c>
      <c r="G71" s="404" t="s">
        <v>1048</v>
      </c>
      <c r="H71" s="404" t="s">
        <v>1048</v>
      </c>
      <c r="I71" s="30" t="str">
        <f t="shared" si="1"/>
        <v>Cond4</v>
      </c>
    </row>
    <row r="72" spans="1:9" ht="13.8" x14ac:dyDescent="0.25">
      <c r="A72" s="68" t="str">
        <f>'G-1 All Habitats'!B71</f>
        <v>Urban - Introduced shrub</v>
      </c>
      <c r="B72" s="404" t="s">
        <v>1048</v>
      </c>
      <c r="C72" s="404" t="s">
        <v>1048</v>
      </c>
      <c r="D72" s="404" t="s">
        <v>1048</v>
      </c>
      <c r="E72" s="404" t="s">
        <v>1048</v>
      </c>
      <c r="F72" s="404" t="s">
        <v>1048</v>
      </c>
      <c r="G72" s="404">
        <v>1</v>
      </c>
      <c r="H72" s="404" t="s">
        <v>1048</v>
      </c>
      <c r="I72" s="30" t="str">
        <f t="shared" si="1"/>
        <v>Cond1</v>
      </c>
    </row>
    <row r="73" spans="1:9" ht="13.8" x14ac:dyDescent="0.25">
      <c r="A73" s="68" t="str">
        <f>'G-1 All Habitats'!B72</f>
        <v>Urban - Open mosaic habitats on previously developed land</v>
      </c>
      <c r="B73" s="404">
        <v>3</v>
      </c>
      <c r="C73" s="404">
        <v>2.5</v>
      </c>
      <c r="D73" s="404">
        <v>2</v>
      </c>
      <c r="E73" s="404">
        <v>1.5</v>
      </c>
      <c r="F73" s="404">
        <v>1</v>
      </c>
      <c r="G73" s="404" t="s">
        <v>1048</v>
      </c>
      <c r="H73" s="404" t="s">
        <v>1048</v>
      </c>
      <c r="I73" s="30" t="str">
        <f t="shared" si="1"/>
        <v>Cond4</v>
      </c>
    </row>
    <row r="74" spans="1:9" ht="13.8" x14ac:dyDescent="0.25">
      <c r="A74" s="68" t="str">
        <f>'G-1 All Habitats'!B73</f>
        <v>Urban - Rain garden</v>
      </c>
      <c r="B74" s="404">
        <v>3</v>
      </c>
      <c r="C74" s="404">
        <v>2.5</v>
      </c>
      <c r="D74" s="404">
        <v>2</v>
      </c>
      <c r="E74" s="404">
        <v>1.5</v>
      </c>
      <c r="F74" s="404">
        <v>1</v>
      </c>
      <c r="G74" s="404" t="s">
        <v>1048</v>
      </c>
      <c r="H74" s="404" t="s">
        <v>1048</v>
      </c>
      <c r="I74" s="30" t="str">
        <f t="shared" si="1"/>
        <v>Cond4</v>
      </c>
    </row>
    <row r="75" spans="1:9" ht="13.8" x14ac:dyDescent="0.25">
      <c r="A75" s="68" t="str">
        <f>'G-1 All Habitats'!B74</f>
        <v>Urban - Actively worked sand pit quarry or open cast mine</v>
      </c>
      <c r="B75" s="404" t="s">
        <v>1048</v>
      </c>
      <c r="C75" s="404" t="s">
        <v>1048</v>
      </c>
      <c r="D75" s="404" t="s">
        <v>1048</v>
      </c>
      <c r="E75" s="404" t="s">
        <v>1048</v>
      </c>
      <c r="F75" s="404" t="s">
        <v>1048</v>
      </c>
      <c r="G75" s="404">
        <v>1</v>
      </c>
      <c r="H75" s="404" t="s">
        <v>1048</v>
      </c>
      <c r="I75" s="30" t="str">
        <f t="shared" ref="I75:I89" si="2">IF(G75=1,"Cond1",IF(H75=0,"Cond2",IF(AND(B75=3,C75=2.5,D75=2,E75=1.5,F75=1),"Cond4",IF(F75=1,"Cond3","Check"))))</f>
        <v>Cond1</v>
      </c>
    </row>
    <row r="76" spans="1:9" ht="13.8" x14ac:dyDescent="0.25">
      <c r="A76" s="68" t="str">
        <f>'G-1 All Habitats'!B80</f>
        <v>Individual trees - Urban tree</v>
      </c>
      <c r="B76" s="404">
        <v>3</v>
      </c>
      <c r="C76" s="404">
        <v>2.5</v>
      </c>
      <c r="D76" s="404">
        <v>2</v>
      </c>
      <c r="E76" s="404">
        <v>1.5</v>
      </c>
      <c r="F76" s="404">
        <v>1</v>
      </c>
      <c r="G76" s="404" t="s">
        <v>1048</v>
      </c>
      <c r="H76" s="404" t="s">
        <v>1048</v>
      </c>
      <c r="I76" s="30" t="str">
        <f t="shared" si="2"/>
        <v>Cond4</v>
      </c>
    </row>
    <row r="77" spans="1:9" ht="13.8" x14ac:dyDescent="0.25">
      <c r="A77" s="68" t="str">
        <f>'G-1 All Habitats'!B75</f>
        <v>Urban - Sustainable drainage system</v>
      </c>
      <c r="B77" s="404">
        <v>3</v>
      </c>
      <c r="C77" s="404">
        <v>2.5</v>
      </c>
      <c r="D77" s="404">
        <v>2</v>
      </c>
      <c r="E77" s="404">
        <v>1.5</v>
      </c>
      <c r="F77" s="404">
        <v>1</v>
      </c>
      <c r="G77" s="404" t="s">
        <v>1048</v>
      </c>
      <c r="H77" s="404" t="s">
        <v>1048</v>
      </c>
      <c r="I77" s="30" t="str">
        <f t="shared" si="2"/>
        <v>Cond4</v>
      </c>
    </row>
    <row r="78" spans="1:9" ht="13.8" x14ac:dyDescent="0.25">
      <c r="A78" s="68" t="str">
        <f>'G-1 All Habitats'!B76</f>
        <v>Urban - Unvegetated garden</v>
      </c>
      <c r="B78" s="404" t="s">
        <v>1048</v>
      </c>
      <c r="C78" s="404" t="s">
        <v>1048</v>
      </c>
      <c r="D78" s="404" t="s">
        <v>1048</v>
      </c>
      <c r="E78" s="404" t="s">
        <v>1048</v>
      </c>
      <c r="F78" s="404" t="s">
        <v>1048</v>
      </c>
      <c r="G78" s="404" t="s">
        <v>1048</v>
      </c>
      <c r="H78" s="440">
        <v>0</v>
      </c>
      <c r="I78" s="30" t="str">
        <f t="shared" si="2"/>
        <v>Cond2</v>
      </c>
    </row>
    <row r="79" spans="1:9" ht="13.8" x14ac:dyDescent="0.25">
      <c r="A79" s="68" t="str">
        <f>'G-1 All Habitats'!B77</f>
        <v>Urban - Vacant or derelict land</v>
      </c>
      <c r="B79" s="404">
        <v>3</v>
      </c>
      <c r="C79" s="404">
        <v>2.5</v>
      </c>
      <c r="D79" s="404">
        <v>2</v>
      </c>
      <c r="E79" s="404">
        <v>1.5</v>
      </c>
      <c r="F79" s="404">
        <v>1</v>
      </c>
      <c r="G79" s="404" t="s">
        <v>1048</v>
      </c>
      <c r="H79" s="404" t="s">
        <v>1048</v>
      </c>
      <c r="I79" s="30" t="str">
        <f t="shared" si="2"/>
        <v>Cond4</v>
      </c>
    </row>
    <row r="80" spans="1:9" ht="13.8" x14ac:dyDescent="0.25">
      <c r="A80" s="68" t="s">
        <v>735</v>
      </c>
      <c r="B80" s="404">
        <v>3</v>
      </c>
      <c r="C80" s="404">
        <v>2.5</v>
      </c>
      <c r="D80" s="404">
        <v>2</v>
      </c>
      <c r="E80" s="404">
        <v>1.5</v>
      </c>
      <c r="F80" s="404">
        <v>1</v>
      </c>
      <c r="G80" s="404" t="s">
        <v>1048</v>
      </c>
      <c r="H80" s="404" t="s">
        <v>1048</v>
      </c>
      <c r="I80" s="30" t="str">
        <f t="shared" si="2"/>
        <v>Cond4</v>
      </c>
    </row>
    <row r="81" spans="1:9" ht="13.8" x14ac:dyDescent="0.25">
      <c r="A81" s="68" t="str">
        <f>'G-1 All Habitats'!B79</f>
        <v>Urban - Vegetated garden</v>
      </c>
      <c r="B81" s="404" t="s">
        <v>1048</v>
      </c>
      <c r="C81" s="404" t="s">
        <v>1048</v>
      </c>
      <c r="D81" s="404" t="s">
        <v>1048</v>
      </c>
      <c r="E81" s="404" t="s">
        <v>1048</v>
      </c>
      <c r="F81" s="404" t="s">
        <v>1048</v>
      </c>
      <c r="G81" s="404">
        <v>1</v>
      </c>
      <c r="H81" s="404" t="s">
        <v>1048</v>
      </c>
      <c r="I81" s="30" t="str">
        <f t="shared" si="2"/>
        <v>Cond1</v>
      </c>
    </row>
    <row r="82" spans="1:9" ht="13.8" x14ac:dyDescent="0.25">
      <c r="A82" s="68" t="str">
        <f>'G-1 All Habitats'!B82</f>
        <v>Wetland - Blanket bog</v>
      </c>
      <c r="B82" s="404">
        <v>3</v>
      </c>
      <c r="C82" s="404">
        <v>2.5</v>
      </c>
      <c r="D82" s="404">
        <v>2</v>
      </c>
      <c r="E82" s="404">
        <v>1.5</v>
      </c>
      <c r="F82" s="404">
        <v>1</v>
      </c>
      <c r="G82" s="404" t="s">
        <v>1048</v>
      </c>
      <c r="H82" s="404" t="s">
        <v>1048</v>
      </c>
      <c r="I82" s="30" t="str">
        <f t="shared" si="2"/>
        <v>Cond4</v>
      </c>
    </row>
    <row r="83" spans="1:9" ht="13.8" x14ac:dyDescent="0.25">
      <c r="A83" s="68" t="str">
        <f>'G-1 All Habitats'!B83</f>
        <v>Wetland - Depressions on peat substrates (H7150)</v>
      </c>
      <c r="B83" s="404">
        <v>3</v>
      </c>
      <c r="C83" s="404">
        <v>2.5</v>
      </c>
      <c r="D83" s="404">
        <v>2</v>
      </c>
      <c r="E83" s="404">
        <v>1.5</v>
      </c>
      <c r="F83" s="404">
        <v>1</v>
      </c>
      <c r="G83" s="404" t="s">
        <v>1048</v>
      </c>
      <c r="H83" s="404" t="s">
        <v>1048</v>
      </c>
      <c r="I83" s="30" t="str">
        <f t="shared" si="2"/>
        <v>Cond4</v>
      </c>
    </row>
    <row r="84" spans="1:9" ht="13.8" x14ac:dyDescent="0.25">
      <c r="A84" s="68" t="str">
        <f>'G-1 All Habitats'!B84</f>
        <v>Wetland - Fens (upland and lowland)</v>
      </c>
      <c r="B84" s="404">
        <v>3</v>
      </c>
      <c r="C84" s="404">
        <v>2.5</v>
      </c>
      <c r="D84" s="404">
        <v>2</v>
      </c>
      <c r="E84" s="404">
        <v>1.5</v>
      </c>
      <c r="F84" s="404">
        <v>1</v>
      </c>
      <c r="G84" s="404" t="s">
        <v>1048</v>
      </c>
      <c r="H84" s="404" t="s">
        <v>1048</v>
      </c>
      <c r="I84" s="30" t="str">
        <f t="shared" si="2"/>
        <v>Cond4</v>
      </c>
    </row>
    <row r="85" spans="1:9" ht="13.8" x14ac:dyDescent="0.25">
      <c r="A85" s="68" t="str">
        <f>'G-1 All Habitats'!B85</f>
        <v>Wetland - Lowland raised bog</v>
      </c>
      <c r="B85" s="404">
        <v>3</v>
      </c>
      <c r="C85" s="404">
        <v>2.5</v>
      </c>
      <c r="D85" s="404">
        <v>2</v>
      </c>
      <c r="E85" s="404">
        <v>1.5</v>
      </c>
      <c r="F85" s="404">
        <v>1</v>
      </c>
      <c r="G85" s="404" t="s">
        <v>1048</v>
      </c>
      <c r="H85" s="404" t="s">
        <v>1048</v>
      </c>
      <c r="I85" s="30" t="str">
        <f t="shared" si="2"/>
        <v>Cond4</v>
      </c>
    </row>
    <row r="86" spans="1:9" ht="13.8" x14ac:dyDescent="0.25">
      <c r="A86" s="68" t="str">
        <f>'G-1 All Habitats'!B86</f>
        <v>Wetland - Oceanic valley mire[1] (D2.1)</v>
      </c>
      <c r="B86" s="404">
        <v>3</v>
      </c>
      <c r="C86" s="404">
        <v>2.5</v>
      </c>
      <c r="D86" s="404">
        <v>2</v>
      </c>
      <c r="E86" s="404">
        <v>1.5</v>
      </c>
      <c r="F86" s="404">
        <v>1</v>
      </c>
      <c r="G86" s="404" t="s">
        <v>1048</v>
      </c>
      <c r="H86" s="404" t="s">
        <v>1048</v>
      </c>
      <c r="I86" s="30" t="str">
        <f t="shared" si="2"/>
        <v>Cond4</v>
      </c>
    </row>
    <row r="87" spans="1:9" ht="13.8" x14ac:dyDescent="0.25">
      <c r="A87" s="68" t="str">
        <f>'G-1 All Habitats'!B87</f>
        <v>Wetland - Purple moor grass and rush pastures</v>
      </c>
      <c r="B87" s="404">
        <v>3</v>
      </c>
      <c r="C87" s="404">
        <v>2.5</v>
      </c>
      <c r="D87" s="404">
        <v>2</v>
      </c>
      <c r="E87" s="404">
        <v>1.5</v>
      </c>
      <c r="F87" s="404">
        <v>1</v>
      </c>
      <c r="G87" s="404" t="s">
        <v>1048</v>
      </c>
      <c r="H87" s="404" t="s">
        <v>1048</v>
      </c>
      <c r="I87" s="30" t="str">
        <f t="shared" si="2"/>
        <v>Cond4</v>
      </c>
    </row>
    <row r="88" spans="1:9" ht="13.8" x14ac:dyDescent="0.25">
      <c r="A88" s="68" t="str">
        <f>'G-1 All Habitats'!B88</f>
        <v>Wetland - Reedbeds</v>
      </c>
      <c r="B88" s="404">
        <v>3</v>
      </c>
      <c r="C88" s="404">
        <v>2.5</v>
      </c>
      <c r="D88" s="404">
        <v>2</v>
      </c>
      <c r="E88" s="404">
        <v>1.5</v>
      </c>
      <c r="F88" s="404">
        <v>1</v>
      </c>
      <c r="G88" s="404" t="s">
        <v>1048</v>
      </c>
      <c r="H88" s="404" t="s">
        <v>1048</v>
      </c>
      <c r="I88" s="30" t="str">
        <f t="shared" si="2"/>
        <v>Cond4</v>
      </c>
    </row>
    <row r="89" spans="1:9" ht="13.8" x14ac:dyDescent="0.25">
      <c r="A89" s="68" t="str">
        <f>'G-1 All Habitats'!B89</f>
        <v>Wetland - Transition mires and quaking bogs (H7140)</v>
      </c>
      <c r="B89" s="404">
        <v>3</v>
      </c>
      <c r="C89" s="404">
        <v>2.5</v>
      </c>
      <c r="D89" s="404">
        <v>2</v>
      </c>
      <c r="E89" s="404">
        <v>1.5</v>
      </c>
      <c r="F89" s="404">
        <v>1</v>
      </c>
      <c r="G89" s="404" t="s">
        <v>1048</v>
      </c>
      <c r="H89" s="404" t="s">
        <v>1048</v>
      </c>
      <c r="I89" s="30" t="str">
        <f t="shared" si="2"/>
        <v>Cond4</v>
      </c>
    </row>
    <row r="90" spans="1:9" ht="13.8" x14ac:dyDescent="0.25">
      <c r="A90" s="68" t="str">
        <f>'G-1 All Habitats'!B90</f>
        <v>Woodland and forest - Felled</v>
      </c>
      <c r="B90" s="404">
        <v>3</v>
      </c>
      <c r="C90" s="404" t="s">
        <v>1048</v>
      </c>
      <c r="D90" s="404" t="s">
        <v>1048</v>
      </c>
      <c r="E90" s="404" t="s">
        <v>1048</v>
      </c>
      <c r="F90" s="404" t="s">
        <v>1048</v>
      </c>
      <c r="G90" s="404" t="s">
        <v>1048</v>
      </c>
      <c r="H90" s="404" t="s">
        <v>1048</v>
      </c>
      <c r="I90" s="30" t="s">
        <v>1156</v>
      </c>
    </row>
    <row r="91" spans="1:9" ht="13.8" x14ac:dyDescent="0.25">
      <c r="A91" s="68" t="str">
        <f>'G-1 All Habitats'!B91</f>
        <v>Woodland and forest - Lowland beech and yew woodland</v>
      </c>
      <c r="B91" s="404">
        <v>3</v>
      </c>
      <c r="C91" s="404">
        <v>2.5</v>
      </c>
      <c r="D91" s="404">
        <v>2</v>
      </c>
      <c r="E91" s="404">
        <v>1.5</v>
      </c>
      <c r="F91" s="404">
        <v>1</v>
      </c>
      <c r="G91" s="404" t="s">
        <v>1048</v>
      </c>
      <c r="H91" s="404" t="s">
        <v>1048</v>
      </c>
      <c r="I91" s="30" t="str">
        <f t="shared" ref="I91:I135" si="3">IF(G91=1,"Cond1",IF(H91=0,"Cond2",IF(AND(B91=3,C91=2.5,D91=2,E91=1.5,F91=1),"Cond4",IF(F91=1,"Cond3","Check"))))</f>
        <v>Cond4</v>
      </c>
    </row>
    <row r="92" spans="1:9" ht="13.8" x14ac:dyDescent="0.25">
      <c r="A92" s="68" t="str">
        <f>'G-1 All Habitats'!B92</f>
        <v>Woodland and forest - Lowland mixed deciduous woodland</v>
      </c>
      <c r="B92" s="404">
        <v>3</v>
      </c>
      <c r="C92" s="404">
        <v>2.5</v>
      </c>
      <c r="D92" s="404">
        <v>2</v>
      </c>
      <c r="E92" s="404">
        <v>1.5</v>
      </c>
      <c r="F92" s="404">
        <v>1</v>
      </c>
      <c r="G92" s="404" t="s">
        <v>1048</v>
      </c>
      <c r="H92" s="404" t="s">
        <v>1048</v>
      </c>
      <c r="I92" s="30" t="str">
        <f t="shared" si="3"/>
        <v>Cond4</v>
      </c>
    </row>
    <row r="93" spans="1:9" ht="13.8" x14ac:dyDescent="0.25">
      <c r="A93" s="68" t="str">
        <f>'G-1 All Habitats'!B93</f>
        <v>Woodland and forest - Native pine woodlands</v>
      </c>
      <c r="B93" s="404">
        <v>3</v>
      </c>
      <c r="C93" s="404">
        <v>2.5</v>
      </c>
      <c r="D93" s="404">
        <v>2</v>
      </c>
      <c r="E93" s="404">
        <v>1.5</v>
      </c>
      <c r="F93" s="404">
        <v>1</v>
      </c>
      <c r="G93" s="404" t="s">
        <v>1048</v>
      </c>
      <c r="H93" s="404" t="s">
        <v>1048</v>
      </c>
      <c r="I93" s="30" t="str">
        <f t="shared" si="3"/>
        <v>Cond4</v>
      </c>
    </row>
    <row r="94" spans="1:9" ht="13.8" x14ac:dyDescent="0.25">
      <c r="A94" s="68" t="str">
        <f>'G-1 All Habitats'!B94</f>
        <v>Woodland and forest - Other coniferous woodland</v>
      </c>
      <c r="B94" s="404">
        <v>3</v>
      </c>
      <c r="C94" s="404">
        <v>2.5</v>
      </c>
      <c r="D94" s="404">
        <v>2</v>
      </c>
      <c r="E94" s="404">
        <v>1.5</v>
      </c>
      <c r="F94" s="404">
        <v>1</v>
      </c>
      <c r="G94" s="404" t="s">
        <v>1048</v>
      </c>
      <c r="H94" s="404" t="s">
        <v>1048</v>
      </c>
      <c r="I94" s="30" t="str">
        <f t="shared" si="3"/>
        <v>Cond4</v>
      </c>
    </row>
    <row r="95" spans="1:9" ht="13.8" x14ac:dyDescent="0.25">
      <c r="A95" s="68" t="str">
        <f>'G-1 All Habitats'!B95</f>
        <v>Woodland and forest - Other Scot's pine woodland</v>
      </c>
      <c r="B95" s="404">
        <v>3</v>
      </c>
      <c r="C95" s="404">
        <v>2.5</v>
      </c>
      <c r="D95" s="404">
        <v>2</v>
      </c>
      <c r="E95" s="404">
        <v>1.5</v>
      </c>
      <c r="F95" s="404">
        <v>1</v>
      </c>
      <c r="G95" s="404" t="s">
        <v>1048</v>
      </c>
      <c r="H95" s="404" t="s">
        <v>1048</v>
      </c>
      <c r="I95" s="30" t="str">
        <f t="shared" si="3"/>
        <v>Cond4</v>
      </c>
    </row>
    <row r="96" spans="1:9" ht="13.8" x14ac:dyDescent="0.25">
      <c r="A96" s="68" t="str">
        <f>'G-1 All Habitats'!B96</f>
        <v>Woodland and forest - Other woodland; broadleaved</v>
      </c>
      <c r="B96" s="404">
        <v>3</v>
      </c>
      <c r="C96" s="404">
        <v>2.5</v>
      </c>
      <c r="D96" s="404">
        <v>2</v>
      </c>
      <c r="E96" s="404">
        <v>1.5</v>
      </c>
      <c r="F96" s="404">
        <v>1</v>
      </c>
      <c r="G96" s="404" t="s">
        <v>1048</v>
      </c>
      <c r="H96" s="404" t="s">
        <v>1048</v>
      </c>
      <c r="I96" s="30" t="str">
        <f t="shared" si="3"/>
        <v>Cond4</v>
      </c>
    </row>
    <row r="97" spans="1:9" ht="13.8" x14ac:dyDescent="0.25">
      <c r="A97" s="68" t="str">
        <f>'G-1 All Habitats'!B97</f>
        <v>Woodland and forest - Other woodland; mixed</v>
      </c>
      <c r="B97" s="404">
        <v>3</v>
      </c>
      <c r="C97" s="404">
        <v>2.5</v>
      </c>
      <c r="D97" s="404">
        <v>2</v>
      </c>
      <c r="E97" s="404">
        <v>1.5</v>
      </c>
      <c r="F97" s="404">
        <v>1</v>
      </c>
      <c r="G97" s="404" t="s">
        <v>1048</v>
      </c>
      <c r="H97" s="404" t="s">
        <v>1048</v>
      </c>
      <c r="I97" s="30" t="str">
        <f t="shared" si="3"/>
        <v>Cond4</v>
      </c>
    </row>
    <row r="98" spans="1:9" ht="13.8" x14ac:dyDescent="0.25">
      <c r="A98" s="68" t="str">
        <f>'G-1 All Habitats'!B98</f>
        <v>Woodland and forest - Upland birchwoods</v>
      </c>
      <c r="B98" s="404">
        <v>3</v>
      </c>
      <c r="C98" s="404">
        <v>2.5</v>
      </c>
      <c r="D98" s="404">
        <v>2</v>
      </c>
      <c r="E98" s="404">
        <v>1.5</v>
      </c>
      <c r="F98" s="404">
        <v>1</v>
      </c>
      <c r="G98" s="404" t="s">
        <v>1048</v>
      </c>
      <c r="H98" s="404" t="s">
        <v>1048</v>
      </c>
      <c r="I98" s="30" t="str">
        <f t="shared" si="3"/>
        <v>Cond4</v>
      </c>
    </row>
    <row r="99" spans="1:9" ht="13.8" x14ac:dyDescent="0.25">
      <c r="A99" s="68" t="str">
        <f>'G-1 All Habitats'!B99</f>
        <v>Woodland and forest - Upland mixed ashwoods</v>
      </c>
      <c r="B99" s="404">
        <v>3</v>
      </c>
      <c r="C99" s="404">
        <v>2.5</v>
      </c>
      <c r="D99" s="404">
        <v>2</v>
      </c>
      <c r="E99" s="404">
        <v>1.5</v>
      </c>
      <c r="F99" s="404">
        <v>1</v>
      </c>
      <c r="G99" s="404" t="s">
        <v>1048</v>
      </c>
      <c r="H99" s="404" t="s">
        <v>1048</v>
      </c>
      <c r="I99" s="30" t="str">
        <f t="shared" si="3"/>
        <v>Cond4</v>
      </c>
    </row>
    <row r="100" spans="1:9" ht="13.8" x14ac:dyDescent="0.25">
      <c r="A100" s="68" t="str">
        <f>'G-1 All Habitats'!B100</f>
        <v>Woodland and forest - Upland oakwood</v>
      </c>
      <c r="B100" s="404">
        <v>3</v>
      </c>
      <c r="C100" s="404">
        <v>2.5</v>
      </c>
      <c r="D100" s="404">
        <v>2</v>
      </c>
      <c r="E100" s="404">
        <v>1.5</v>
      </c>
      <c r="F100" s="404">
        <v>1</v>
      </c>
      <c r="G100" s="404" t="s">
        <v>1048</v>
      </c>
      <c r="H100" s="404" t="s">
        <v>1048</v>
      </c>
      <c r="I100" s="30" t="str">
        <f t="shared" si="3"/>
        <v>Cond4</v>
      </c>
    </row>
    <row r="101" spans="1:9" ht="13.8" x14ac:dyDescent="0.25">
      <c r="A101" s="68" t="str">
        <f>'G-1 All Habitats'!B101</f>
        <v>Woodland and forest - Wet woodland</v>
      </c>
      <c r="B101" s="404">
        <v>3</v>
      </c>
      <c r="C101" s="404">
        <v>2.5</v>
      </c>
      <c r="D101" s="404">
        <v>2</v>
      </c>
      <c r="E101" s="404">
        <v>1.5</v>
      </c>
      <c r="F101" s="404">
        <v>1</v>
      </c>
      <c r="G101" s="404" t="s">
        <v>1048</v>
      </c>
      <c r="H101" s="404" t="s">
        <v>1048</v>
      </c>
      <c r="I101" s="30" t="str">
        <f t="shared" si="3"/>
        <v>Cond4</v>
      </c>
    </row>
    <row r="102" spans="1:9" ht="13.8" x14ac:dyDescent="0.25">
      <c r="A102" s="68" t="str">
        <f>'G-1 All Habitats'!B102</f>
        <v>Woodland and forest - Wood-pasture and parkland</v>
      </c>
      <c r="B102" s="404">
        <v>3</v>
      </c>
      <c r="C102" s="404">
        <v>2.5</v>
      </c>
      <c r="D102" s="404">
        <v>2</v>
      </c>
      <c r="E102" s="404">
        <v>1.5</v>
      </c>
      <c r="F102" s="404">
        <v>1</v>
      </c>
      <c r="G102" s="404" t="s">
        <v>1048</v>
      </c>
      <c r="H102" s="404" t="s">
        <v>1048</v>
      </c>
      <c r="I102" s="30" t="str">
        <f t="shared" si="3"/>
        <v>Cond4</v>
      </c>
    </row>
    <row r="103" spans="1:9" ht="13.8" x14ac:dyDescent="0.25">
      <c r="A103" s="68" t="str">
        <f>'G-1 All Habitats'!B103</f>
        <v>Coastal lagoons - Coastal lagoons</v>
      </c>
      <c r="B103" s="404">
        <v>3</v>
      </c>
      <c r="C103" s="404">
        <v>2.5</v>
      </c>
      <c r="D103" s="404">
        <v>2</v>
      </c>
      <c r="E103" s="404">
        <v>1.5</v>
      </c>
      <c r="F103" s="404">
        <v>1</v>
      </c>
      <c r="G103" s="404" t="s">
        <v>1048</v>
      </c>
      <c r="H103" s="404" t="s">
        <v>1048</v>
      </c>
      <c r="I103" s="30" t="str">
        <f t="shared" si="3"/>
        <v>Cond4</v>
      </c>
    </row>
    <row r="104" spans="1:9" ht="13.8" x14ac:dyDescent="0.25">
      <c r="A104" s="68" t="str">
        <f>'G-1 All Habitats'!B104</f>
        <v>Rocky shore - High energy littoral rock</v>
      </c>
      <c r="B104" s="404">
        <v>3</v>
      </c>
      <c r="C104" s="404">
        <v>2.5</v>
      </c>
      <c r="D104" s="404">
        <v>2</v>
      </c>
      <c r="E104" s="404">
        <v>1.5</v>
      </c>
      <c r="F104" s="404">
        <v>1</v>
      </c>
      <c r="G104" s="404" t="s">
        <v>1048</v>
      </c>
      <c r="H104" s="404" t="s">
        <v>1048</v>
      </c>
      <c r="I104" s="30" t="str">
        <f t="shared" si="3"/>
        <v>Cond4</v>
      </c>
    </row>
    <row r="105" spans="1:9" ht="13.8" x14ac:dyDescent="0.25">
      <c r="A105" s="68" t="str">
        <f>'G-1 All Habitats'!B105</f>
        <v>Rocky shore - High energy littoral rock - on peat, clay or chalk</v>
      </c>
      <c r="B105" s="404">
        <v>3</v>
      </c>
      <c r="C105" s="404">
        <v>2.5</v>
      </c>
      <c r="D105" s="404">
        <v>2</v>
      </c>
      <c r="E105" s="404">
        <v>1.5</v>
      </c>
      <c r="F105" s="404">
        <v>1</v>
      </c>
      <c r="G105" s="404" t="s">
        <v>1048</v>
      </c>
      <c r="H105" s="404" t="s">
        <v>1048</v>
      </c>
      <c r="I105" s="30" t="str">
        <f t="shared" si="3"/>
        <v>Cond4</v>
      </c>
    </row>
    <row r="106" spans="1:9" ht="13.8" x14ac:dyDescent="0.25">
      <c r="A106" s="68" t="str">
        <f>'G-1 All Habitats'!B106</f>
        <v>Rocky shore - Moderate energy littoral rock</v>
      </c>
      <c r="B106" s="404">
        <v>3</v>
      </c>
      <c r="C106" s="404">
        <v>2.5</v>
      </c>
      <c r="D106" s="404">
        <v>2</v>
      </c>
      <c r="E106" s="404">
        <v>1.5</v>
      </c>
      <c r="F106" s="404">
        <v>1</v>
      </c>
      <c r="G106" s="404" t="s">
        <v>1048</v>
      </c>
      <c r="H106" s="404" t="s">
        <v>1048</v>
      </c>
      <c r="I106" s="30" t="str">
        <f t="shared" si="3"/>
        <v>Cond4</v>
      </c>
    </row>
    <row r="107" spans="1:9" ht="13.8" x14ac:dyDescent="0.25">
      <c r="A107" s="68" t="str">
        <f>'G-1 All Habitats'!B107</f>
        <v>Rocky shore - Moderate energy littoral rock - on peat, clay or chalk</v>
      </c>
      <c r="B107" s="404">
        <v>3</v>
      </c>
      <c r="C107" s="404">
        <v>2.5</v>
      </c>
      <c r="D107" s="404">
        <v>2</v>
      </c>
      <c r="E107" s="404">
        <v>1.5</v>
      </c>
      <c r="F107" s="404">
        <v>1</v>
      </c>
      <c r="G107" s="404" t="s">
        <v>1048</v>
      </c>
      <c r="H107" s="404" t="s">
        <v>1048</v>
      </c>
      <c r="I107" s="30" t="str">
        <f t="shared" si="3"/>
        <v>Cond4</v>
      </c>
    </row>
    <row r="108" spans="1:9" ht="13.8" x14ac:dyDescent="0.25">
      <c r="A108" s="68" t="str">
        <f>'G-1 All Habitats'!B108</f>
        <v>Rocky shore - Low energy littoral rock</v>
      </c>
      <c r="B108" s="404">
        <v>3</v>
      </c>
      <c r="C108" s="404">
        <v>2.5</v>
      </c>
      <c r="D108" s="404">
        <v>2</v>
      </c>
      <c r="E108" s="404">
        <v>1.5</v>
      </c>
      <c r="F108" s="404">
        <v>1</v>
      </c>
      <c r="G108" s="404" t="s">
        <v>1048</v>
      </c>
      <c r="H108" s="404" t="s">
        <v>1048</v>
      </c>
      <c r="I108" s="30" t="str">
        <f t="shared" si="3"/>
        <v>Cond4</v>
      </c>
    </row>
    <row r="109" spans="1:9" ht="13.8" x14ac:dyDescent="0.25">
      <c r="A109" s="68" t="str">
        <f>'G-1 All Habitats'!B109</f>
        <v>Rocky shore - Low energy littoral rock - on peat, clay or chalk</v>
      </c>
      <c r="B109" s="404">
        <v>3</v>
      </c>
      <c r="C109" s="404">
        <v>2.5</v>
      </c>
      <c r="D109" s="404">
        <v>2</v>
      </c>
      <c r="E109" s="404">
        <v>1.5</v>
      </c>
      <c r="F109" s="404">
        <v>1</v>
      </c>
      <c r="G109" s="404" t="s">
        <v>1048</v>
      </c>
      <c r="H109" s="404" t="s">
        <v>1048</v>
      </c>
      <c r="I109" s="30" t="str">
        <f t="shared" si="3"/>
        <v>Cond4</v>
      </c>
    </row>
    <row r="110" spans="1:9" ht="13.8" x14ac:dyDescent="0.25">
      <c r="A110" s="68" t="str">
        <f>'G-1 All Habitats'!B110</f>
        <v>Rocky shore - Features of littoral rock</v>
      </c>
      <c r="B110" s="404">
        <v>3</v>
      </c>
      <c r="C110" s="404">
        <v>2.5</v>
      </c>
      <c r="D110" s="404">
        <v>2</v>
      </c>
      <c r="E110" s="404">
        <v>1.5</v>
      </c>
      <c r="F110" s="404">
        <v>1</v>
      </c>
      <c r="G110" s="404" t="s">
        <v>1048</v>
      </c>
      <c r="H110" s="404" t="s">
        <v>1048</v>
      </c>
      <c r="I110" s="30" t="str">
        <f t="shared" si="3"/>
        <v>Cond4</v>
      </c>
    </row>
    <row r="111" spans="1:9" ht="13.8" x14ac:dyDescent="0.25">
      <c r="A111" s="68" t="str">
        <f>'G-1 All Habitats'!B111</f>
        <v>Rocky shore - Features of littoral rock - on peat, clay or chalk</v>
      </c>
      <c r="B111" s="404">
        <v>3</v>
      </c>
      <c r="C111" s="404">
        <v>2.5</v>
      </c>
      <c r="D111" s="404">
        <v>2</v>
      </c>
      <c r="E111" s="404">
        <v>1.5</v>
      </c>
      <c r="F111" s="404">
        <v>1</v>
      </c>
      <c r="G111" s="404" t="s">
        <v>1048</v>
      </c>
      <c r="H111" s="404" t="s">
        <v>1048</v>
      </c>
      <c r="I111" s="30" t="str">
        <f t="shared" si="3"/>
        <v>Cond4</v>
      </c>
    </row>
    <row r="112" spans="1:9" ht="13.8" x14ac:dyDescent="0.25">
      <c r="A112" s="68" t="str">
        <f>'G-1 All Habitats'!B114</f>
        <v>Intertidal sediment - Littoral coarse sediment</v>
      </c>
      <c r="B112" s="404">
        <v>3</v>
      </c>
      <c r="C112" s="404">
        <v>2.5</v>
      </c>
      <c r="D112" s="404">
        <v>2</v>
      </c>
      <c r="E112" s="404">
        <v>1.5</v>
      </c>
      <c r="F112" s="404">
        <v>1</v>
      </c>
      <c r="G112" s="404" t="s">
        <v>1048</v>
      </c>
      <c r="H112" s="404" t="s">
        <v>1048</v>
      </c>
      <c r="I112" s="30" t="str">
        <f t="shared" si="3"/>
        <v>Cond4</v>
      </c>
    </row>
    <row r="113" spans="1:9" ht="13.8" x14ac:dyDescent="0.25">
      <c r="A113" s="68" t="str">
        <f>'G-1 All Habitats'!B115</f>
        <v>Intertidal sediment - Littoral mud</v>
      </c>
      <c r="B113" s="404">
        <v>3</v>
      </c>
      <c r="C113" s="404">
        <v>2.5</v>
      </c>
      <c r="D113" s="404">
        <v>2</v>
      </c>
      <c r="E113" s="404">
        <v>1.5</v>
      </c>
      <c r="F113" s="404">
        <v>1</v>
      </c>
      <c r="G113" s="404" t="s">
        <v>1048</v>
      </c>
      <c r="H113" s="404" t="s">
        <v>1048</v>
      </c>
      <c r="I113" s="30" t="str">
        <f t="shared" si="3"/>
        <v>Cond4</v>
      </c>
    </row>
    <row r="114" spans="1:9" ht="13.8" x14ac:dyDescent="0.25">
      <c r="A114" s="68" t="str">
        <f>'G-1 All Habitats'!B116</f>
        <v>Intertidal sediment - Littoral mixed sediments</v>
      </c>
      <c r="B114" s="404">
        <v>3</v>
      </c>
      <c r="C114" s="404">
        <v>2.5</v>
      </c>
      <c r="D114" s="404">
        <v>2</v>
      </c>
      <c r="E114" s="404">
        <v>1.5</v>
      </c>
      <c r="F114" s="404">
        <v>1</v>
      </c>
      <c r="G114" s="404" t="s">
        <v>1048</v>
      </c>
      <c r="H114" s="404" t="s">
        <v>1048</v>
      </c>
      <c r="I114" s="30" t="str">
        <f t="shared" si="3"/>
        <v>Cond4</v>
      </c>
    </row>
    <row r="115" spans="1:9" ht="13.8" x14ac:dyDescent="0.25">
      <c r="A115" s="68" t="str">
        <f>'G-1 All Habitats'!B112</f>
        <v>Coastal saltmarsh - Saltmarshes and saline reedbeds</v>
      </c>
      <c r="B115" s="404">
        <v>3</v>
      </c>
      <c r="C115" s="404">
        <v>2.5</v>
      </c>
      <c r="D115" s="404">
        <v>2</v>
      </c>
      <c r="E115" s="404">
        <v>1.5</v>
      </c>
      <c r="F115" s="404">
        <v>1</v>
      </c>
      <c r="G115" s="404" t="s">
        <v>1048</v>
      </c>
      <c r="H115" s="404" t="s">
        <v>1048</v>
      </c>
      <c r="I115" s="30" t="str">
        <f t="shared" si="3"/>
        <v>Cond4</v>
      </c>
    </row>
    <row r="116" spans="1:9" ht="13.8" x14ac:dyDescent="0.25">
      <c r="A116" s="68" t="str">
        <f>'G-1 All Habitats'!B113</f>
        <v>Coastal saltmarsh - Artificial saltmarshes and saline reedbeds</v>
      </c>
      <c r="B116" s="404">
        <v>3</v>
      </c>
      <c r="C116" s="404">
        <v>2.5</v>
      </c>
      <c r="D116" s="404">
        <v>2</v>
      </c>
      <c r="E116" s="404">
        <v>1.5</v>
      </c>
      <c r="F116" s="404">
        <v>1</v>
      </c>
      <c r="G116" s="404" t="s">
        <v>1048</v>
      </c>
      <c r="H116" s="404" t="s">
        <v>1048</v>
      </c>
      <c r="I116" s="30" t="str">
        <f t="shared" si="3"/>
        <v>Cond4</v>
      </c>
    </row>
    <row r="117" spans="1:9" ht="13.8" x14ac:dyDescent="0.25">
      <c r="A117" s="68" t="str">
        <f>'G-1 All Habitats'!B117</f>
        <v>Intertidal sediment - Littoral seagrass</v>
      </c>
      <c r="B117" s="404">
        <v>3</v>
      </c>
      <c r="C117" s="404">
        <v>2.5</v>
      </c>
      <c r="D117" s="404">
        <v>2</v>
      </c>
      <c r="E117" s="404">
        <v>1.5</v>
      </c>
      <c r="F117" s="404">
        <v>1</v>
      </c>
      <c r="G117" s="404" t="s">
        <v>1048</v>
      </c>
      <c r="H117" s="404" t="s">
        <v>1048</v>
      </c>
      <c r="I117" s="30" t="str">
        <f t="shared" si="3"/>
        <v>Cond4</v>
      </c>
    </row>
    <row r="118" spans="1:9" ht="13.8" x14ac:dyDescent="0.25">
      <c r="A118" s="68" t="str">
        <f>'G-1 All Habitats'!B118</f>
        <v>Intertidal sediment - Littoral seagrass on peat, clay or chalk</v>
      </c>
      <c r="B118" s="404">
        <v>3</v>
      </c>
      <c r="C118" s="404">
        <v>2.5</v>
      </c>
      <c r="D118" s="404">
        <v>2</v>
      </c>
      <c r="E118" s="404">
        <v>1.5</v>
      </c>
      <c r="F118" s="404">
        <v>1</v>
      </c>
      <c r="G118" s="404" t="s">
        <v>1048</v>
      </c>
      <c r="H118" s="404" t="s">
        <v>1048</v>
      </c>
      <c r="I118" s="30" t="str">
        <f t="shared" si="3"/>
        <v>Cond4</v>
      </c>
    </row>
    <row r="119" spans="1:9" ht="13.8" x14ac:dyDescent="0.25">
      <c r="A119" s="68" t="str">
        <f>'G-1 All Habitats'!B119</f>
        <v>Intertidal sediment - Littoral biogenic reefs - Mussels</v>
      </c>
      <c r="B119" s="404">
        <v>3</v>
      </c>
      <c r="C119" s="404">
        <v>2.5</v>
      </c>
      <c r="D119" s="404">
        <v>2</v>
      </c>
      <c r="E119" s="404">
        <v>1.5</v>
      </c>
      <c r="F119" s="404">
        <v>1</v>
      </c>
      <c r="G119" s="404" t="s">
        <v>1048</v>
      </c>
      <c r="H119" s="404" t="s">
        <v>1048</v>
      </c>
      <c r="I119" s="30" t="str">
        <f t="shared" si="3"/>
        <v>Cond4</v>
      </c>
    </row>
    <row r="120" spans="1:9" ht="13.8" x14ac:dyDescent="0.25">
      <c r="A120" s="68" t="str">
        <f>'G-1 All Habitats'!B120</f>
        <v>Intertidal sediment - Littoral biogenic reefs - Sabellaria</v>
      </c>
      <c r="B120" s="404">
        <v>3</v>
      </c>
      <c r="C120" s="404">
        <v>2.5</v>
      </c>
      <c r="D120" s="404">
        <v>2</v>
      </c>
      <c r="E120" s="404">
        <v>1.5</v>
      </c>
      <c r="F120" s="404">
        <v>1</v>
      </c>
      <c r="G120" s="404" t="s">
        <v>1048</v>
      </c>
      <c r="H120" s="404" t="s">
        <v>1048</v>
      </c>
      <c r="I120" s="30" t="str">
        <f t="shared" si="3"/>
        <v>Cond4</v>
      </c>
    </row>
    <row r="121" spans="1:9" ht="13.8" x14ac:dyDescent="0.25">
      <c r="A121" s="68" t="str">
        <f>'G-1 All Habitats'!B121</f>
        <v>Intertidal sediment - Features of littoral sediment</v>
      </c>
      <c r="B121" s="404">
        <v>3</v>
      </c>
      <c r="C121" s="404">
        <v>2.5</v>
      </c>
      <c r="D121" s="404">
        <v>2</v>
      </c>
      <c r="E121" s="404">
        <v>1.5</v>
      </c>
      <c r="F121" s="404">
        <v>1</v>
      </c>
      <c r="G121" s="404" t="s">
        <v>1048</v>
      </c>
      <c r="H121" s="404" t="s">
        <v>1048</v>
      </c>
      <c r="I121" s="30" t="str">
        <f t="shared" si="3"/>
        <v>Cond4</v>
      </c>
    </row>
    <row r="122" spans="1:9" ht="13.8" x14ac:dyDescent="0.25">
      <c r="A122" s="68" t="str">
        <f>'G-1 All Habitats'!B122</f>
        <v>Intertidal sediment - Artificial littoral coarse sediment</v>
      </c>
      <c r="B122" s="404">
        <v>3</v>
      </c>
      <c r="C122" s="404">
        <v>2.5</v>
      </c>
      <c r="D122" s="404">
        <v>2</v>
      </c>
      <c r="E122" s="404">
        <v>1.5</v>
      </c>
      <c r="F122" s="404">
        <v>1</v>
      </c>
      <c r="G122" s="404" t="s">
        <v>1048</v>
      </c>
      <c r="H122" s="404" t="s">
        <v>1048</v>
      </c>
      <c r="I122" s="30" t="str">
        <f t="shared" si="3"/>
        <v>Cond4</v>
      </c>
    </row>
    <row r="123" spans="1:9" ht="13.8" x14ac:dyDescent="0.25">
      <c r="A123" s="68" t="str">
        <f>'G-1 All Habitats'!B123</f>
        <v>Intertidal sediment - Artificial littoral mud</v>
      </c>
      <c r="B123" s="404">
        <v>3</v>
      </c>
      <c r="C123" s="404">
        <v>2.5</v>
      </c>
      <c r="D123" s="404">
        <v>2</v>
      </c>
      <c r="E123" s="404">
        <v>1.5</v>
      </c>
      <c r="F123" s="404">
        <v>1</v>
      </c>
      <c r="G123" s="404" t="s">
        <v>1048</v>
      </c>
      <c r="H123" s="404" t="s">
        <v>1048</v>
      </c>
      <c r="I123" s="30" t="str">
        <f t="shared" si="3"/>
        <v>Cond4</v>
      </c>
    </row>
    <row r="124" spans="1:9" ht="13.8" x14ac:dyDescent="0.25">
      <c r="A124" s="68" t="str">
        <f>'G-1 All Habitats'!B124</f>
        <v>Intertidal sediment - Artificial littoral sand</v>
      </c>
      <c r="B124" s="404">
        <v>3</v>
      </c>
      <c r="C124" s="404">
        <v>2.5</v>
      </c>
      <c r="D124" s="404">
        <v>2</v>
      </c>
      <c r="E124" s="404">
        <v>1.5</v>
      </c>
      <c r="F124" s="404">
        <v>1</v>
      </c>
      <c r="G124" s="404" t="s">
        <v>1048</v>
      </c>
      <c r="H124" s="404" t="s">
        <v>1048</v>
      </c>
      <c r="I124" s="30" t="str">
        <f t="shared" si="3"/>
        <v>Cond4</v>
      </c>
    </row>
    <row r="125" spans="1:9" ht="13.8" x14ac:dyDescent="0.25">
      <c r="A125" s="68" t="str">
        <f>'G-1 All Habitats'!B125</f>
        <v>Intertidal sediment - Artificial littoral muddy sand</v>
      </c>
      <c r="B125" s="404">
        <v>3</v>
      </c>
      <c r="C125" s="404">
        <v>2.5</v>
      </c>
      <c r="D125" s="404">
        <v>2</v>
      </c>
      <c r="E125" s="404">
        <v>1.5</v>
      </c>
      <c r="F125" s="404">
        <v>1</v>
      </c>
      <c r="G125" s="404" t="s">
        <v>1048</v>
      </c>
      <c r="H125" s="404" t="s">
        <v>1048</v>
      </c>
      <c r="I125" s="30" t="str">
        <f t="shared" si="3"/>
        <v>Cond4</v>
      </c>
    </row>
    <row r="126" spans="1:9" ht="13.8" x14ac:dyDescent="0.25">
      <c r="A126" s="68" t="str">
        <f>'G-1 All Habitats'!B126</f>
        <v>Intertidal sediment - Artificial littoral mixed sediments</v>
      </c>
      <c r="B126" s="404">
        <v>3</v>
      </c>
      <c r="C126" s="404">
        <v>2.5</v>
      </c>
      <c r="D126" s="404">
        <v>2</v>
      </c>
      <c r="E126" s="404">
        <v>1.5</v>
      </c>
      <c r="F126" s="404">
        <v>1</v>
      </c>
      <c r="G126" s="404" t="s">
        <v>1048</v>
      </c>
      <c r="H126" s="404" t="s">
        <v>1048</v>
      </c>
      <c r="I126" s="30" t="str">
        <f t="shared" si="3"/>
        <v>Cond4</v>
      </c>
    </row>
    <row r="127" spans="1:9" ht="13.8" x14ac:dyDescent="0.25">
      <c r="A127" s="68" t="str">
        <f>'G-1 All Habitats'!B127</f>
        <v>Intertidal sediment - Artificial littoral seagrass</v>
      </c>
      <c r="B127" s="404">
        <v>3</v>
      </c>
      <c r="C127" s="404">
        <v>2.5</v>
      </c>
      <c r="D127" s="404">
        <v>2</v>
      </c>
      <c r="E127" s="404">
        <v>1.5</v>
      </c>
      <c r="F127" s="404">
        <v>1</v>
      </c>
      <c r="G127" s="404" t="s">
        <v>1048</v>
      </c>
      <c r="H127" s="404" t="s">
        <v>1048</v>
      </c>
      <c r="I127" s="30" t="str">
        <f t="shared" si="3"/>
        <v>Cond4</v>
      </c>
    </row>
    <row r="128" spans="1:9" ht="13.8" x14ac:dyDescent="0.25">
      <c r="A128" s="68" t="str">
        <f>'G-1 All Habitats'!B128</f>
        <v>Intertidal sediment - Artificial littoral biogenic reefs</v>
      </c>
      <c r="B128" s="404">
        <v>3</v>
      </c>
      <c r="C128" s="404">
        <v>2.5</v>
      </c>
      <c r="D128" s="404">
        <v>2</v>
      </c>
      <c r="E128" s="404">
        <v>1.5</v>
      </c>
      <c r="F128" s="404">
        <v>1</v>
      </c>
      <c r="G128" s="404" t="s">
        <v>1048</v>
      </c>
      <c r="H128" s="404" t="s">
        <v>1048</v>
      </c>
      <c r="I128" s="30" t="str">
        <f t="shared" si="3"/>
        <v>Cond4</v>
      </c>
    </row>
    <row r="129" spans="1:9" ht="13.8" x14ac:dyDescent="0.25">
      <c r="A129" s="68" t="str">
        <f>'G-1 All Habitats'!B129</f>
        <v>Intertidal sediment - Littoral sand</v>
      </c>
      <c r="B129" s="404">
        <v>3</v>
      </c>
      <c r="C129" s="404">
        <v>2.5</v>
      </c>
      <c r="D129" s="404">
        <v>2</v>
      </c>
      <c r="E129" s="404">
        <v>1.5</v>
      </c>
      <c r="F129" s="404">
        <v>1</v>
      </c>
      <c r="G129" s="404" t="s">
        <v>1048</v>
      </c>
      <c r="H129" s="404" t="s">
        <v>1048</v>
      </c>
      <c r="I129" s="30" t="str">
        <f t="shared" si="3"/>
        <v>Cond4</v>
      </c>
    </row>
    <row r="130" spans="1:9" ht="13.8" x14ac:dyDescent="0.25">
      <c r="A130" s="68" t="str">
        <f>'G-1 All Habitats'!B130</f>
        <v>Intertidal sediment - Littoral muddy sand</v>
      </c>
      <c r="B130" s="404">
        <v>3</v>
      </c>
      <c r="C130" s="404">
        <v>2.5</v>
      </c>
      <c r="D130" s="404">
        <v>2</v>
      </c>
      <c r="E130" s="404">
        <v>1.5</v>
      </c>
      <c r="F130" s="404">
        <v>1</v>
      </c>
      <c r="G130" s="404" t="s">
        <v>1048</v>
      </c>
      <c r="H130" s="404" t="s">
        <v>1048</v>
      </c>
      <c r="I130" s="30" t="str">
        <f t="shared" si="3"/>
        <v>Cond4</v>
      </c>
    </row>
    <row r="131" spans="1:9" ht="13.8" x14ac:dyDescent="0.25">
      <c r="A131" s="68" t="str">
        <f>'G-1 All Habitats'!B131</f>
        <v>Intertidal hard structures - Artificial hard structures</v>
      </c>
      <c r="B131" s="404">
        <v>3</v>
      </c>
      <c r="C131" s="404">
        <v>2.5</v>
      </c>
      <c r="D131" s="404">
        <v>2</v>
      </c>
      <c r="E131" s="404">
        <v>1.5</v>
      </c>
      <c r="F131" s="404">
        <v>1</v>
      </c>
      <c r="G131" s="404" t="s">
        <v>1048</v>
      </c>
      <c r="H131" s="404" t="s">
        <v>1048</v>
      </c>
      <c r="I131" s="30" t="str">
        <f t="shared" si="3"/>
        <v>Cond4</v>
      </c>
    </row>
    <row r="132" spans="1:9" ht="13.8" x14ac:dyDescent="0.25">
      <c r="A132" s="68" t="str">
        <f>'G-1 All Habitats'!B132</f>
        <v>Intertidal hard structures - Artificial features of hard structures</v>
      </c>
      <c r="B132" s="404">
        <v>3</v>
      </c>
      <c r="C132" s="404">
        <v>2.5</v>
      </c>
      <c r="D132" s="404">
        <v>2</v>
      </c>
      <c r="E132" s="404">
        <v>1.5</v>
      </c>
      <c r="F132" s="404">
        <v>1</v>
      </c>
      <c r="G132" s="404" t="s">
        <v>1048</v>
      </c>
      <c r="H132" s="404" t="s">
        <v>1048</v>
      </c>
      <c r="I132" s="30" t="str">
        <f t="shared" si="3"/>
        <v>Cond4</v>
      </c>
    </row>
    <row r="133" spans="1:9" ht="13.8" x14ac:dyDescent="0.25">
      <c r="A133" s="68" t="str">
        <f>'G-1 All Habitats'!B133</f>
        <v>Intertidal hard structures - Artificial hard structures with integrated greening of grey infrastructure (IGGI)</v>
      </c>
      <c r="B133" s="404">
        <v>3</v>
      </c>
      <c r="C133" s="404">
        <v>2.5</v>
      </c>
      <c r="D133" s="404">
        <v>2</v>
      </c>
      <c r="E133" s="404">
        <v>1.5</v>
      </c>
      <c r="F133" s="404">
        <v>1</v>
      </c>
      <c r="G133" s="404" t="s">
        <v>1048</v>
      </c>
      <c r="H133" s="404" t="s">
        <v>1048</v>
      </c>
      <c r="I133" s="30" t="str">
        <f t="shared" si="3"/>
        <v>Cond4</v>
      </c>
    </row>
    <row r="134" spans="1:9" ht="13.8" x14ac:dyDescent="0.25">
      <c r="A134" s="68" t="s">
        <v>926</v>
      </c>
      <c r="B134" s="404" t="s">
        <v>1048</v>
      </c>
      <c r="C134" s="404" t="s">
        <v>1048</v>
      </c>
      <c r="D134" s="404" t="s">
        <v>1048</v>
      </c>
      <c r="E134" s="404" t="s">
        <v>1048</v>
      </c>
      <c r="F134" s="404" t="s">
        <v>1048</v>
      </c>
      <c r="G134" s="404" t="s">
        <v>1048</v>
      </c>
      <c r="H134" s="404">
        <v>0</v>
      </c>
      <c r="I134" s="30" t="str">
        <f t="shared" si="3"/>
        <v>Cond2</v>
      </c>
    </row>
    <row r="135" spans="1:9" ht="13.8" x14ac:dyDescent="0.25">
      <c r="A135" s="68" t="s">
        <v>744</v>
      </c>
      <c r="B135" s="404">
        <v>3</v>
      </c>
      <c r="C135" s="404">
        <v>2.5</v>
      </c>
      <c r="D135" s="404">
        <v>2</v>
      </c>
      <c r="E135" s="404">
        <v>1.5</v>
      </c>
      <c r="F135" s="404">
        <v>1</v>
      </c>
      <c r="G135" s="404" t="s">
        <v>1048</v>
      </c>
      <c r="H135" s="404" t="s">
        <v>1048</v>
      </c>
      <c r="I135" s="30" t="str">
        <f t="shared" si="3"/>
        <v>Cond4</v>
      </c>
    </row>
    <row r="136" spans="1:9" ht="13.8" x14ac:dyDescent="0.25"/>
    <row r="137" spans="1:9" ht="14.55" customHeight="1" x14ac:dyDescent="0.25"/>
    <row r="138" spans="1:9" ht="14.55" customHeight="1" x14ac:dyDescent="0.25"/>
    <row r="139" spans="1:9" ht="14.55" customHeight="1" x14ac:dyDescent="0.25"/>
    <row r="140" spans="1:9" ht="14.55" customHeight="1" x14ac:dyDescent="0.25"/>
    <row r="141" spans="1:9" ht="14.55" customHeight="1" x14ac:dyDescent="0.25"/>
    <row r="142" spans="1:9" ht="14.55" customHeight="1" x14ac:dyDescent="0.25"/>
    <row r="143" spans="1:9" ht="14.55" customHeight="1" x14ac:dyDescent="0.25"/>
    <row r="144" spans="1:9" ht="14.55" customHeight="1" x14ac:dyDescent="0.25"/>
    <row r="145" ht="14.55" customHeight="1" x14ac:dyDescent="0.25"/>
    <row r="146" ht="14.55" customHeight="1" x14ac:dyDescent="0.25"/>
    <row r="147" ht="14.55" customHeight="1" x14ac:dyDescent="0.25"/>
    <row r="148" ht="14.55" customHeight="1" x14ac:dyDescent="0.25"/>
    <row r="149" ht="14.55" customHeight="1" x14ac:dyDescent="0.25"/>
    <row r="150" ht="14.55" customHeight="1" x14ac:dyDescent="0.25"/>
    <row r="151" ht="14.55" customHeight="1" x14ac:dyDescent="0.25"/>
  </sheetData>
  <sheetProtection algorithmName="SHA-512" hashValue="MCgybX+5nzsjqsvDJMu5SC6MbnKd3pNGjW1Y2s8j7LSa8y6fh1E4stiW5+8RZY8Y6+Ve4ZgdqYZgfhlMeavUxg==" saltValue="zbCP9Vj51VBX7kXO9ah9rA==" spinCount="100000" sheet="1" objects="1" scenarios="1"/>
  <autoFilter ref="A3:H82" xr:uid="{00000000-0009-0000-0000-000021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E0DCD3"/>
  </sheetPr>
  <dimension ref="A1:S216"/>
  <sheetViews>
    <sheetView showGridLines="0" zoomScale="80" zoomScaleNormal="80" workbookViewId="0"/>
  </sheetViews>
  <sheetFormatPr defaultColWidth="0" defaultRowHeight="14.4" zeroHeight="1" x14ac:dyDescent="0.3"/>
  <cols>
    <col min="1" max="1" width="9.21875" style="220" customWidth="1"/>
    <col min="2" max="2" width="44.21875" style="220" customWidth="1"/>
    <col min="3" max="3" width="60.5546875" style="220" customWidth="1"/>
    <col min="4" max="4" width="31.77734375" style="220" customWidth="1"/>
    <col min="5" max="19" width="9.21875" style="220" customWidth="1"/>
    <col min="20" max="16384" width="9.21875" style="220" hidden="1"/>
  </cols>
  <sheetData>
    <row r="1" spans="2:4" ht="61.2" customHeight="1" thickBot="1" x14ac:dyDescent="0.35"/>
    <row r="2" spans="2:4" ht="61.2" customHeight="1" thickBot="1" x14ac:dyDescent="0.35">
      <c r="B2" s="1684" t="s">
        <v>1157</v>
      </c>
      <c r="C2" s="1685"/>
      <c r="D2" s="1686"/>
    </row>
    <row r="3" spans="2:4" ht="16.2" thickBot="1" x14ac:dyDescent="0.35">
      <c r="B3" s="694" t="s">
        <v>1158</v>
      </c>
      <c r="C3" s="695" t="s">
        <v>1159</v>
      </c>
      <c r="D3" s="696" t="s">
        <v>1160</v>
      </c>
    </row>
    <row r="4" spans="2:4" x14ac:dyDescent="0.3">
      <c r="B4" s="697" t="s">
        <v>1161</v>
      </c>
      <c r="C4" s="446" t="s">
        <v>804</v>
      </c>
      <c r="D4" s="444" t="s">
        <v>70</v>
      </c>
    </row>
    <row r="5" spans="2:4" x14ac:dyDescent="0.3">
      <c r="B5" s="613" t="s">
        <v>1162</v>
      </c>
      <c r="C5" s="404" t="s">
        <v>801</v>
      </c>
      <c r="D5" s="452" t="s">
        <v>70</v>
      </c>
    </row>
    <row r="6" spans="2:4" x14ac:dyDescent="0.3">
      <c r="B6" s="613" t="s">
        <v>1163</v>
      </c>
      <c r="C6" s="404" t="s">
        <v>786</v>
      </c>
      <c r="D6" s="452" t="s">
        <v>213</v>
      </c>
    </row>
    <row r="7" spans="2:4" x14ac:dyDescent="0.3">
      <c r="B7" s="613" t="s">
        <v>1164</v>
      </c>
      <c r="C7" s="404" t="s">
        <v>801</v>
      </c>
      <c r="D7" s="452" t="s">
        <v>70</v>
      </c>
    </row>
    <row r="8" spans="2:4" x14ac:dyDescent="0.3">
      <c r="B8" s="613" t="s">
        <v>792</v>
      </c>
      <c r="C8" s="404" t="s">
        <v>794</v>
      </c>
      <c r="D8" s="452" t="s">
        <v>216</v>
      </c>
    </row>
    <row r="9" spans="2:4" x14ac:dyDescent="0.3">
      <c r="B9" s="613" t="s">
        <v>1165</v>
      </c>
      <c r="C9" s="404" t="s">
        <v>789</v>
      </c>
      <c r="D9" s="452" t="s">
        <v>213</v>
      </c>
    </row>
    <row r="10" spans="2:4" x14ac:dyDescent="0.3">
      <c r="B10" s="613" t="s">
        <v>1166</v>
      </c>
      <c r="C10" s="404" t="s">
        <v>794</v>
      </c>
      <c r="D10" s="452" t="s">
        <v>216</v>
      </c>
    </row>
    <row r="11" spans="2:4" x14ac:dyDescent="0.3">
      <c r="B11" s="613" t="s">
        <v>1167</v>
      </c>
      <c r="C11" s="404" t="s">
        <v>804</v>
      </c>
      <c r="D11" s="452" t="s">
        <v>70</v>
      </c>
    </row>
    <row r="12" spans="2:4" x14ac:dyDescent="0.3">
      <c r="B12" s="613" t="s">
        <v>1168</v>
      </c>
      <c r="C12" s="404" t="s">
        <v>786</v>
      </c>
      <c r="D12" s="452" t="s">
        <v>213</v>
      </c>
    </row>
    <row r="13" spans="2:4" x14ac:dyDescent="0.3">
      <c r="B13" s="613" t="s">
        <v>1169</v>
      </c>
      <c r="C13" s="404" t="s">
        <v>804</v>
      </c>
      <c r="D13" s="452" t="s">
        <v>70</v>
      </c>
    </row>
    <row r="14" spans="2:4" x14ac:dyDescent="0.3">
      <c r="B14" s="613" t="s">
        <v>1170</v>
      </c>
      <c r="C14" s="404" t="s">
        <v>587</v>
      </c>
      <c r="D14" s="452" t="s">
        <v>70</v>
      </c>
    </row>
    <row r="15" spans="2:4" x14ac:dyDescent="0.3">
      <c r="B15" s="613" t="s">
        <v>1171</v>
      </c>
      <c r="C15" s="404" t="s">
        <v>587</v>
      </c>
      <c r="D15" s="452" t="s">
        <v>70</v>
      </c>
    </row>
    <row r="16" spans="2:4" x14ac:dyDescent="0.3">
      <c r="B16" s="613" t="s">
        <v>1172</v>
      </c>
      <c r="C16" s="404" t="s">
        <v>587</v>
      </c>
      <c r="D16" s="452" t="s">
        <v>70</v>
      </c>
    </row>
    <row r="17" spans="2:4" x14ac:dyDescent="0.3">
      <c r="B17" s="613" t="s">
        <v>1173</v>
      </c>
      <c r="C17" s="404" t="s">
        <v>821</v>
      </c>
      <c r="D17" s="452" t="s">
        <v>467</v>
      </c>
    </row>
    <row r="18" spans="2:4" x14ac:dyDescent="0.3">
      <c r="B18" s="613" t="s">
        <v>1174</v>
      </c>
      <c r="C18" s="404" t="s">
        <v>821</v>
      </c>
      <c r="D18" s="452" t="s">
        <v>467</v>
      </c>
    </row>
    <row r="19" spans="2:4" x14ac:dyDescent="0.3">
      <c r="B19" s="613" t="s">
        <v>1175</v>
      </c>
      <c r="C19" s="404" t="s">
        <v>794</v>
      </c>
      <c r="D19" s="452" t="s">
        <v>70</v>
      </c>
    </row>
    <row r="20" spans="2:4" x14ac:dyDescent="0.3">
      <c r="B20" s="613" t="s">
        <v>1176</v>
      </c>
      <c r="C20" s="404" t="s">
        <v>821</v>
      </c>
      <c r="D20" s="452" t="s">
        <v>467</v>
      </c>
    </row>
    <row r="21" spans="2:4" x14ac:dyDescent="0.3">
      <c r="B21" s="613" t="s">
        <v>1177</v>
      </c>
      <c r="C21" s="404" t="s">
        <v>740</v>
      </c>
      <c r="D21" s="452" t="s">
        <v>70</v>
      </c>
    </row>
    <row r="22" spans="2:4" x14ac:dyDescent="0.3">
      <c r="B22" s="613" t="s">
        <v>1177</v>
      </c>
      <c r="C22" s="404" t="s">
        <v>744</v>
      </c>
      <c r="D22" s="452" t="s">
        <v>70</v>
      </c>
    </row>
    <row r="23" spans="2:4" x14ac:dyDescent="0.3">
      <c r="B23" s="613" t="s">
        <v>1178</v>
      </c>
      <c r="C23" s="404" t="s">
        <v>779</v>
      </c>
      <c r="D23" s="452" t="s">
        <v>213</v>
      </c>
    </row>
    <row r="24" spans="2:4" x14ac:dyDescent="0.3">
      <c r="B24" s="613" t="s">
        <v>1179</v>
      </c>
      <c r="C24" s="404" t="s">
        <v>779</v>
      </c>
      <c r="D24" s="452" t="s">
        <v>213</v>
      </c>
    </row>
    <row r="25" spans="2:4" x14ac:dyDescent="0.3">
      <c r="B25" s="613" t="s">
        <v>1180</v>
      </c>
      <c r="C25" s="404" t="s">
        <v>779</v>
      </c>
      <c r="D25" s="452" t="s">
        <v>213</v>
      </c>
    </row>
    <row r="26" spans="2:4" x14ac:dyDescent="0.3">
      <c r="B26" s="613" t="s">
        <v>1181</v>
      </c>
      <c r="C26" s="404" t="s">
        <v>779</v>
      </c>
      <c r="D26" s="452" t="s">
        <v>213</v>
      </c>
    </row>
    <row r="27" spans="2:4" x14ac:dyDescent="0.3">
      <c r="B27" s="613" t="s">
        <v>513</v>
      </c>
      <c r="C27" s="404" t="s">
        <v>542</v>
      </c>
      <c r="D27" s="452" t="s">
        <v>70</v>
      </c>
    </row>
    <row r="28" spans="2:4" x14ac:dyDescent="0.3">
      <c r="B28" s="613" t="s">
        <v>513</v>
      </c>
      <c r="C28" s="404" t="s">
        <v>554</v>
      </c>
      <c r="D28" s="452" t="s">
        <v>70</v>
      </c>
    </row>
    <row r="29" spans="2:4" x14ac:dyDescent="0.3">
      <c r="B29" s="613" t="s">
        <v>1182</v>
      </c>
      <c r="C29" s="404" t="s">
        <v>527</v>
      </c>
      <c r="D29" s="452" t="s">
        <v>467</v>
      </c>
    </row>
    <row r="30" spans="2:4" x14ac:dyDescent="0.3">
      <c r="B30" s="613" t="s">
        <v>1182</v>
      </c>
      <c r="C30" s="404" t="s">
        <v>560</v>
      </c>
      <c r="D30" s="452" t="s">
        <v>467</v>
      </c>
    </row>
    <row r="31" spans="2:4" x14ac:dyDescent="0.3">
      <c r="B31" s="613" t="s">
        <v>1183</v>
      </c>
      <c r="C31" s="404" t="s">
        <v>554</v>
      </c>
      <c r="D31" s="452" t="s">
        <v>70</v>
      </c>
    </row>
    <row r="32" spans="2:4" x14ac:dyDescent="0.3">
      <c r="B32" s="613" t="s">
        <v>1183</v>
      </c>
      <c r="C32" s="404" t="s">
        <v>542</v>
      </c>
      <c r="D32" s="452" t="s">
        <v>70</v>
      </c>
    </row>
    <row r="33" spans="2:4" x14ac:dyDescent="0.3">
      <c r="B33" s="613" t="s">
        <v>1184</v>
      </c>
      <c r="C33" s="404" t="s">
        <v>538</v>
      </c>
      <c r="D33" s="452" t="s">
        <v>216</v>
      </c>
    </row>
    <row r="34" spans="2:4" x14ac:dyDescent="0.3">
      <c r="B34" s="613" t="s">
        <v>536</v>
      </c>
      <c r="C34" s="404" t="s">
        <v>545</v>
      </c>
      <c r="D34" s="452" t="s">
        <v>70</v>
      </c>
    </row>
    <row r="35" spans="2:4" x14ac:dyDescent="0.3">
      <c r="B35" s="613" t="s">
        <v>1185</v>
      </c>
      <c r="C35" s="404" t="s">
        <v>533</v>
      </c>
      <c r="D35" s="452" t="s">
        <v>467</v>
      </c>
    </row>
    <row r="36" spans="2:4" x14ac:dyDescent="0.3">
      <c r="B36" s="614" t="s">
        <v>1186</v>
      </c>
      <c r="C36" s="428" t="s">
        <v>545</v>
      </c>
      <c r="D36" s="615" t="s">
        <v>70</v>
      </c>
    </row>
    <row r="37" spans="2:4" x14ac:dyDescent="0.3">
      <c r="B37" s="613" t="s">
        <v>1187</v>
      </c>
      <c r="C37" s="404" t="s">
        <v>538</v>
      </c>
      <c r="D37" s="452" t="s">
        <v>216</v>
      </c>
    </row>
    <row r="38" spans="2:4" x14ac:dyDescent="0.3">
      <c r="B38" s="613" t="s">
        <v>524</v>
      </c>
      <c r="C38" s="404" t="s">
        <v>557</v>
      </c>
      <c r="D38" s="452" t="s">
        <v>213</v>
      </c>
    </row>
    <row r="39" spans="2:4" x14ac:dyDescent="0.3">
      <c r="B39" s="613" t="s">
        <v>524</v>
      </c>
      <c r="C39" s="404" t="s">
        <v>521</v>
      </c>
      <c r="D39" s="452" t="s">
        <v>213</v>
      </c>
    </row>
    <row r="40" spans="2:4" x14ac:dyDescent="0.3">
      <c r="B40" s="613" t="s">
        <v>1188</v>
      </c>
      <c r="C40" s="404" t="s">
        <v>521</v>
      </c>
      <c r="D40" s="452" t="s">
        <v>213</v>
      </c>
    </row>
    <row r="41" spans="2:4" x14ac:dyDescent="0.3">
      <c r="B41" s="613" t="s">
        <v>1188</v>
      </c>
      <c r="C41" s="404" t="s">
        <v>557</v>
      </c>
      <c r="D41" s="452" t="s">
        <v>213</v>
      </c>
    </row>
    <row r="42" spans="2:4" ht="29.55" customHeight="1" x14ac:dyDescent="0.3">
      <c r="B42" s="613" t="s">
        <v>1189</v>
      </c>
      <c r="C42" s="404" t="s">
        <v>557</v>
      </c>
      <c r="D42" s="452" t="s">
        <v>213</v>
      </c>
    </row>
    <row r="43" spans="2:4" ht="29.55" customHeight="1" x14ac:dyDescent="0.3">
      <c r="B43" s="613" t="s">
        <v>1189</v>
      </c>
      <c r="C43" s="404" t="s">
        <v>521</v>
      </c>
      <c r="D43" s="452" t="s">
        <v>213</v>
      </c>
    </row>
    <row r="44" spans="2:4" ht="26.4" x14ac:dyDescent="0.3">
      <c r="B44" s="613" t="s">
        <v>1190</v>
      </c>
      <c r="C44" s="404" t="s">
        <v>538</v>
      </c>
      <c r="D44" s="452" t="s">
        <v>216</v>
      </c>
    </row>
    <row r="45" spans="2:4" x14ac:dyDescent="0.3">
      <c r="B45" s="613" t="s">
        <v>1191</v>
      </c>
      <c r="C45" s="404" t="s">
        <v>538</v>
      </c>
      <c r="D45" s="452" t="s">
        <v>216</v>
      </c>
    </row>
    <row r="46" spans="2:4" x14ac:dyDescent="0.3">
      <c r="B46" s="613" t="s">
        <v>1192</v>
      </c>
      <c r="C46" s="404" t="s">
        <v>770</v>
      </c>
      <c r="D46" s="452" t="s">
        <v>467</v>
      </c>
    </row>
    <row r="47" spans="2:4" x14ac:dyDescent="0.3">
      <c r="B47" s="613" t="s">
        <v>1192</v>
      </c>
      <c r="C47" s="404" t="s">
        <v>545</v>
      </c>
      <c r="D47" s="452" t="s">
        <v>70</v>
      </c>
    </row>
    <row r="48" spans="2:4" x14ac:dyDescent="0.3">
      <c r="B48" s="613" t="s">
        <v>1192</v>
      </c>
      <c r="C48" s="404" t="s">
        <v>538</v>
      </c>
      <c r="D48" s="452" t="s">
        <v>216</v>
      </c>
    </row>
    <row r="49" spans="2:4" x14ac:dyDescent="0.3">
      <c r="B49" s="613" t="s">
        <v>1193</v>
      </c>
      <c r="C49" s="404" t="s">
        <v>538</v>
      </c>
      <c r="D49" s="452" t="s">
        <v>216</v>
      </c>
    </row>
    <row r="50" spans="2:4" x14ac:dyDescent="0.3">
      <c r="B50" s="613" t="s">
        <v>1194</v>
      </c>
      <c r="C50" s="404" t="s">
        <v>657</v>
      </c>
      <c r="D50" s="452" t="s">
        <v>213</v>
      </c>
    </row>
    <row r="51" spans="2:4" x14ac:dyDescent="0.3">
      <c r="B51" s="613" t="s">
        <v>1195</v>
      </c>
      <c r="C51" s="404" t="s">
        <v>653</v>
      </c>
      <c r="D51" s="452" t="s">
        <v>213</v>
      </c>
    </row>
    <row r="52" spans="2:4" x14ac:dyDescent="0.3">
      <c r="B52" s="613" t="s">
        <v>1196</v>
      </c>
      <c r="C52" s="404" t="s">
        <v>653</v>
      </c>
      <c r="D52" s="452" t="s">
        <v>213</v>
      </c>
    </row>
    <row r="53" spans="2:4" x14ac:dyDescent="0.3">
      <c r="B53" s="613" t="s">
        <v>1197</v>
      </c>
      <c r="C53" s="404" t="s">
        <v>653</v>
      </c>
      <c r="D53" s="452" t="s">
        <v>213</v>
      </c>
    </row>
    <row r="54" spans="2:4" x14ac:dyDescent="0.3">
      <c r="B54" s="613" t="s">
        <v>1198</v>
      </c>
      <c r="C54" s="404" t="s">
        <v>653</v>
      </c>
      <c r="D54" s="452" t="s">
        <v>213</v>
      </c>
    </row>
    <row r="55" spans="2:4" x14ac:dyDescent="0.3">
      <c r="B55" s="613" t="s">
        <v>1199</v>
      </c>
      <c r="C55" s="404" t="s">
        <v>653</v>
      </c>
      <c r="D55" s="452" t="s">
        <v>213</v>
      </c>
    </row>
    <row r="56" spans="2:4" x14ac:dyDescent="0.3">
      <c r="B56" s="613" t="s">
        <v>1200</v>
      </c>
      <c r="C56" s="404" t="s">
        <v>653</v>
      </c>
      <c r="D56" s="452" t="s">
        <v>213</v>
      </c>
    </row>
    <row r="57" spans="2:4" x14ac:dyDescent="0.3">
      <c r="B57" s="613" t="s">
        <v>1201</v>
      </c>
      <c r="C57" s="404" t="s">
        <v>674</v>
      </c>
      <c r="D57" s="452" t="s">
        <v>213</v>
      </c>
    </row>
    <row r="58" spans="2:4" x14ac:dyDescent="0.3">
      <c r="B58" s="613" t="s">
        <v>1202</v>
      </c>
      <c r="C58" s="404" t="s">
        <v>674</v>
      </c>
      <c r="D58" s="452" t="s">
        <v>213</v>
      </c>
    </row>
    <row r="59" spans="2:4" x14ac:dyDescent="0.3">
      <c r="B59" s="613" t="s">
        <v>1203</v>
      </c>
      <c r="C59" s="404" t="s">
        <v>674</v>
      </c>
      <c r="D59" s="452" t="s">
        <v>213</v>
      </c>
    </row>
    <row r="60" spans="2:4" x14ac:dyDescent="0.3">
      <c r="B60" s="613" t="s">
        <v>1204</v>
      </c>
      <c r="C60" s="404" t="s">
        <v>674</v>
      </c>
      <c r="D60" s="452" t="s">
        <v>213</v>
      </c>
    </row>
    <row r="61" spans="2:4" x14ac:dyDescent="0.3">
      <c r="B61" s="613" t="s">
        <v>1204</v>
      </c>
      <c r="C61" s="404" t="s">
        <v>1205</v>
      </c>
      <c r="D61" s="452" t="s">
        <v>213</v>
      </c>
    </row>
    <row r="62" spans="2:4" x14ac:dyDescent="0.3">
      <c r="B62" s="613" t="s">
        <v>1206</v>
      </c>
      <c r="C62" s="404" t="s">
        <v>674</v>
      </c>
      <c r="D62" s="452" t="s">
        <v>213</v>
      </c>
    </row>
    <row r="63" spans="2:4" x14ac:dyDescent="0.3">
      <c r="B63" s="613" t="s">
        <v>1206</v>
      </c>
      <c r="C63" s="404" t="s">
        <v>533</v>
      </c>
      <c r="D63" s="452" t="s">
        <v>467</v>
      </c>
    </row>
    <row r="64" spans="2:4" x14ac:dyDescent="0.3">
      <c r="B64" s="613" t="s">
        <v>1206</v>
      </c>
      <c r="C64" s="404" t="s">
        <v>527</v>
      </c>
      <c r="D64" s="452" t="s">
        <v>467</v>
      </c>
    </row>
    <row r="65" spans="2:4" x14ac:dyDescent="0.3">
      <c r="B65" s="613" t="s">
        <v>1206</v>
      </c>
      <c r="C65" s="404" t="s">
        <v>542</v>
      </c>
      <c r="D65" s="452" t="s">
        <v>70</v>
      </c>
    </row>
    <row r="66" spans="2:4" x14ac:dyDescent="0.3">
      <c r="B66" s="613" t="s">
        <v>1207</v>
      </c>
      <c r="C66" s="404" t="s">
        <v>674</v>
      </c>
      <c r="D66" s="452" t="s">
        <v>213</v>
      </c>
    </row>
    <row r="67" spans="2:4" x14ac:dyDescent="0.3">
      <c r="B67" s="613" t="s">
        <v>1207</v>
      </c>
      <c r="C67" s="430" t="s">
        <v>580</v>
      </c>
      <c r="D67" s="452" t="s">
        <v>213</v>
      </c>
    </row>
    <row r="68" spans="2:4" x14ac:dyDescent="0.3">
      <c r="B68" s="613" t="s">
        <v>1208</v>
      </c>
      <c r="C68" s="404" t="s">
        <v>1209</v>
      </c>
      <c r="D68" s="452" t="s">
        <v>467</v>
      </c>
    </row>
    <row r="69" spans="2:4" x14ac:dyDescent="0.3">
      <c r="B69" s="613" t="s">
        <v>1208</v>
      </c>
      <c r="C69" s="404" t="s">
        <v>1210</v>
      </c>
      <c r="D69" s="452" t="s">
        <v>70</v>
      </c>
    </row>
    <row r="70" spans="2:4" x14ac:dyDescent="0.3">
      <c r="B70" s="613" t="s">
        <v>1208</v>
      </c>
      <c r="C70" s="404" t="s">
        <v>621</v>
      </c>
      <c r="D70" s="452" t="s">
        <v>213</v>
      </c>
    </row>
    <row r="71" spans="2:4" x14ac:dyDescent="0.3">
      <c r="B71" s="613" t="s">
        <v>1208</v>
      </c>
      <c r="C71" s="404" t="s">
        <v>624</v>
      </c>
      <c r="D71" s="452" t="s">
        <v>213</v>
      </c>
    </row>
    <row r="72" spans="2:4" x14ac:dyDescent="0.3">
      <c r="B72" s="613" t="s">
        <v>1208</v>
      </c>
      <c r="C72" s="404" t="s">
        <v>627</v>
      </c>
      <c r="D72" s="452" t="s">
        <v>213</v>
      </c>
    </row>
    <row r="73" spans="2:4" x14ac:dyDescent="0.3">
      <c r="B73" s="613" t="s">
        <v>1208</v>
      </c>
      <c r="C73" s="404" t="s">
        <v>630</v>
      </c>
      <c r="D73" s="452" t="s">
        <v>213</v>
      </c>
    </row>
    <row r="74" spans="2:4" x14ac:dyDescent="0.3">
      <c r="B74" s="613" t="s">
        <v>1208</v>
      </c>
      <c r="C74" s="404" t="s">
        <v>1211</v>
      </c>
      <c r="D74" s="452" t="s">
        <v>213</v>
      </c>
    </row>
    <row r="75" spans="2:4" x14ac:dyDescent="0.3">
      <c r="B75" s="613" t="s">
        <v>1208</v>
      </c>
      <c r="C75" s="404" t="s">
        <v>1212</v>
      </c>
      <c r="D75" s="452" t="s">
        <v>213</v>
      </c>
    </row>
    <row r="76" spans="2:4" x14ac:dyDescent="0.3">
      <c r="B76" s="613" t="s">
        <v>1208</v>
      </c>
      <c r="C76" s="404" t="s">
        <v>1213</v>
      </c>
      <c r="D76" s="452" t="s">
        <v>70</v>
      </c>
    </row>
    <row r="77" spans="2:4" x14ac:dyDescent="0.3">
      <c r="B77" s="613" t="s">
        <v>1208</v>
      </c>
      <c r="C77" s="404" t="s">
        <v>1214</v>
      </c>
      <c r="D77" s="452" t="s">
        <v>70</v>
      </c>
    </row>
    <row r="78" spans="2:4" x14ac:dyDescent="0.3">
      <c r="B78" s="613" t="s">
        <v>1208</v>
      </c>
      <c r="C78" s="404" t="s">
        <v>1215</v>
      </c>
      <c r="D78" s="452" t="s">
        <v>213</v>
      </c>
    </row>
    <row r="79" spans="2:4" x14ac:dyDescent="0.3">
      <c r="B79" s="613" t="s">
        <v>1216</v>
      </c>
      <c r="C79" s="404" t="s">
        <v>580</v>
      </c>
      <c r="D79" s="452" t="s">
        <v>213</v>
      </c>
    </row>
    <row r="80" spans="2:4" x14ac:dyDescent="0.3">
      <c r="B80" s="613" t="s">
        <v>1216</v>
      </c>
      <c r="C80" s="404" t="s">
        <v>609</v>
      </c>
      <c r="D80" s="452" t="s">
        <v>213</v>
      </c>
    </row>
    <row r="81" spans="2:4" x14ac:dyDescent="0.3">
      <c r="B81" s="613" t="s">
        <v>1217</v>
      </c>
      <c r="C81" s="404" t="s">
        <v>580</v>
      </c>
      <c r="D81" s="452" t="s">
        <v>213</v>
      </c>
    </row>
    <row r="82" spans="2:4" x14ac:dyDescent="0.3">
      <c r="B82" s="613" t="s">
        <v>1217</v>
      </c>
      <c r="C82" s="404" t="s">
        <v>609</v>
      </c>
      <c r="D82" s="452" t="s">
        <v>213</v>
      </c>
    </row>
    <row r="83" spans="2:4" x14ac:dyDescent="0.3">
      <c r="B83" s="613" t="s">
        <v>1218</v>
      </c>
      <c r="C83" s="404" t="s">
        <v>580</v>
      </c>
      <c r="D83" s="452" t="s">
        <v>213</v>
      </c>
    </row>
    <row r="84" spans="2:4" x14ac:dyDescent="0.3">
      <c r="B84" s="613" t="s">
        <v>1218</v>
      </c>
      <c r="C84" s="404" t="s">
        <v>609</v>
      </c>
      <c r="D84" s="452" t="s">
        <v>213</v>
      </c>
    </row>
    <row r="85" spans="2:4" x14ac:dyDescent="0.3">
      <c r="B85" s="613" t="s">
        <v>1219</v>
      </c>
      <c r="C85" s="404" t="s">
        <v>580</v>
      </c>
      <c r="D85" s="452" t="s">
        <v>213</v>
      </c>
    </row>
    <row r="86" spans="2:4" x14ac:dyDescent="0.3">
      <c r="B86" s="613" t="s">
        <v>1219</v>
      </c>
      <c r="C86" s="404" t="s">
        <v>609</v>
      </c>
      <c r="D86" s="452" t="s">
        <v>213</v>
      </c>
    </row>
    <row r="87" spans="2:4" x14ac:dyDescent="0.3">
      <c r="B87" s="613" t="s">
        <v>1220</v>
      </c>
      <c r="C87" s="404" t="s">
        <v>580</v>
      </c>
      <c r="D87" s="452" t="s">
        <v>213</v>
      </c>
    </row>
    <row r="88" spans="2:4" x14ac:dyDescent="0.3">
      <c r="B88" s="613" t="s">
        <v>1220</v>
      </c>
      <c r="C88" s="404" t="s">
        <v>609</v>
      </c>
      <c r="D88" s="452" t="s">
        <v>213</v>
      </c>
    </row>
    <row r="89" spans="2:4" x14ac:dyDescent="0.3">
      <c r="B89" s="613" t="s">
        <v>1221</v>
      </c>
      <c r="C89" s="404" t="s">
        <v>591</v>
      </c>
      <c r="D89" s="452" t="s">
        <v>467</v>
      </c>
    </row>
    <row r="90" spans="2:4" x14ac:dyDescent="0.3">
      <c r="B90" s="613" t="s">
        <v>1222</v>
      </c>
      <c r="C90" s="404" t="s">
        <v>580</v>
      </c>
      <c r="D90" s="452" t="s">
        <v>213</v>
      </c>
    </row>
    <row r="91" spans="2:4" x14ac:dyDescent="0.3">
      <c r="B91" s="613" t="s">
        <v>1223</v>
      </c>
      <c r="C91" s="404" t="s">
        <v>580</v>
      </c>
      <c r="D91" s="452" t="s">
        <v>213</v>
      </c>
    </row>
    <row r="92" spans="2:4" x14ac:dyDescent="0.3">
      <c r="B92" s="613" t="s">
        <v>1222</v>
      </c>
      <c r="C92" s="404" t="s">
        <v>609</v>
      </c>
      <c r="D92" s="452" t="s">
        <v>213</v>
      </c>
    </row>
    <row r="93" spans="2:4" x14ac:dyDescent="0.3">
      <c r="B93" s="613" t="s">
        <v>1223</v>
      </c>
      <c r="C93" s="404" t="s">
        <v>609</v>
      </c>
      <c r="D93" s="452" t="s">
        <v>213</v>
      </c>
    </row>
    <row r="94" spans="2:4" x14ac:dyDescent="0.3">
      <c r="B94" s="613" t="s">
        <v>510</v>
      </c>
      <c r="C94" s="404" t="s">
        <v>511</v>
      </c>
      <c r="D94" s="452" t="s">
        <v>216</v>
      </c>
    </row>
    <row r="95" spans="2:4" x14ac:dyDescent="0.3">
      <c r="B95" s="613" t="s">
        <v>1224</v>
      </c>
      <c r="C95" s="404" t="s">
        <v>511</v>
      </c>
      <c r="D95" s="452" t="s">
        <v>216</v>
      </c>
    </row>
    <row r="96" spans="2:4" x14ac:dyDescent="0.3">
      <c r="B96" s="613" t="s">
        <v>1225</v>
      </c>
      <c r="C96" s="404" t="s">
        <v>511</v>
      </c>
      <c r="D96" s="452" t="s">
        <v>216</v>
      </c>
    </row>
    <row r="97" spans="2:4" x14ac:dyDescent="0.3">
      <c r="B97" s="613" t="s">
        <v>1226</v>
      </c>
      <c r="C97" s="430" t="s">
        <v>666</v>
      </c>
      <c r="D97" s="452" t="s">
        <v>213</v>
      </c>
    </row>
    <row r="98" spans="2:4" x14ac:dyDescent="0.3">
      <c r="B98" s="613" t="s">
        <v>1227</v>
      </c>
      <c r="C98" s="404" t="s">
        <v>511</v>
      </c>
      <c r="D98" s="452" t="s">
        <v>70</v>
      </c>
    </row>
    <row r="99" spans="2:4" x14ac:dyDescent="0.3">
      <c r="B99" s="613" t="s">
        <v>1228</v>
      </c>
      <c r="C99" s="430" t="s">
        <v>989</v>
      </c>
      <c r="D99" s="452" t="s">
        <v>216</v>
      </c>
    </row>
    <row r="100" spans="2:4" x14ac:dyDescent="0.3">
      <c r="B100" s="613" t="s">
        <v>1228</v>
      </c>
      <c r="C100" s="430" t="s">
        <v>664</v>
      </c>
      <c r="D100" s="452" t="s">
        <v>216</v>
      </c>
    </row>
    <row r="101" spans="2:4" x14ac:dyDescent="0.3">
      <c r="B101" s="613" t="s">
        <v>1229</v>
      </c>
      <c r="C101" s="430" t="s">
        <v>989</v>
      </c>
      <c r="D101" s="452" t="s">
        <v>216</v>
      </c>
    </row>
    <row r="102" spans="2:4" x14ac:dyDescent="0.3">
      <c r="B102" s="613" t="s">
        <v>749</v>
      </c>
      <c r="C102" s="404" t="s">
        <v>762</v>
      </c>
      <c r="D102" s="452" t="s">
        <v>467</v>
      </c>
    </row>
    <row r="103" spans="2:4" x14ac:dyDescent="0.3">
      <c r="B103" s="613" t="s">
        <v>1230</v>
      </c>
      <c r="C103" s="404" t="s">
        <v>762</v>
      </c>
      <c r="D103" s="452" t="s">
        <v>467</v>
      </c>
    </row>
    <row r="104" spans="2:4" x14ac:dyDescent="0.3">
      <c r="B104" s="613" t="s">
        <v>746</v>
      </c>
      <c r="C104" s="404" t="s">
        <v>747</v>
      </c>
      <c r="D104" s="452" t="s">
        <v>467</v>
      </c>
    </row>
    <row r="105" spans="2:4" x14ac:dyDescent="0.3">
      <c r="B105" s="613" t="s">
        <v>1231</v>
      </c>
      <c r="C105" s="404" t="s">
        <v>762</v>
      </c>
      <c r="D105" s="452" t="s">
        <v>467</v>
      </c>
    </row>
    <row r="106" spans="2:4" x14ac:dyDescent="0.3">
      <c r="B106" s="613" t="s">
        <v>1232</v>
      </c>
      <c r="C106" s="430" t="s">
        <v>776</v>
      </c>
      <c r="D106" s="452" t="s">
        <v>467</v>
      </c>
    </row>
    <row r="107" spans="2:4" x14ac:dyDescent="0.3">
      <c r="B107" s="613" t="s">
        <v>1233</v>
      </c>
      <c r="C107" s="404" t="s">
        <v>747</v>
      </c>
      <c r="D107" s="452" t="s">
        <v>467</v>
      </c>
    </row>
    <row r="108" spans="2:4" x14ac:dyDescent="0.3">
      <c r="B108" s="613" t="s">
        <v>1233</v>
      </c>
      <c r="C108" s="404" t="s">
        <v>762</v>
      </c>
      <c r="D108" s="452" t="s">
        <v>467</v>
      </c>
    </row>
    <row r="109" spans="2:4" x14ac:dyDescent="0.3">
      <c r="B109" s="613" t="s">
        <v>1234</v>
      </c>
      <c r="C109" s="404" t="s">
        <v>756</v>
      </c>
      <c r="D109" s="452" t="s">
        <v>467</v>
      </c>
    </row>
    <row r="110" spans="2:4" x14ac:dyDescent="0.3">
      <c r="B110" s="613" t="s">
        <v>1235</v>
      </c>
      <c r="C110" s="404" t="s">
        <v>756</v>
      </c>
      <c r="D110" s="452" t="s">
        <v>467</v>
      </c>
    </row>
    <row r="111" spans="2:4" x14ac:dyDescent="0.3">
      <c r="B111" s="613" t="s">
        <v>1236</v>
      </c>
      <c r="C111" s="404" t="s">
        <v>756</v>
      </c>
      <c r="D111" s="452" t="s">
        <v>467</v>
      </c>
    </row>
    <row r="112" spans="2:4" x14ac:dyDescent="0.3">
      <c r="B112" s="613" t="s">
        <v>1237</v>
      </c>
      <c r="C112" s="404" t="s">
        <v>756</v>
      </c>
      <c r="D112" s="452" t="s">
        <v>467</v>
      </c>
    </row>
    <row r="113" spans="2:4" x14ac:dyDescent="0.3">
      <c r="B113" s="613" t="s">
        <v>1238</v>
      </c>
      <c r="C113" s="404" t="s">
        <v>756</v>
      </c>
      <c r="D113" s="452" t="s">
        <v>467</v>
      </c>
    </row>
    <row r="114" spans="2:4" x14ac:dyDescent="0.3">
      <c r="B114" s="613" t="s">
        <v>1239</v>
      </c>
      <c r="C114" s="404" t="s">
        <v>1240</v>
      </c>
      <c r="D114" s="452" t="s">
        <v>467</v>
      </c>
    </row>
    <row r="115" spans="2:4" x14ac:dyDescent="0.3">
      <c r="B115" s="613" t="s">
        <v>1241</v>
      </c>
      <c r="C115" s="404" t="s">
        <v>1240</v>
      </c>
      <c r="D115" s="452" t="s">
        <v>467</v>
      </c>
    </row>
    <row r="116" spans="2:4" x14ac:dyDescent="0.3">
      <c r="B116" s="613" t="s">
        <v>1242</v>
      </c>
      <c r="C116" s="404" t="s">
        <v>1240</v>
      </c>
      <c r="D116" s="452" t="s">
        <v>467</v>
      </c>
    </row>
    <row r="117" spans="2:4" x14ac:dyDescent="0.3">
      <c r="B117" s="613" t="s">
        <v>1243</v>
      </c>
      <c r="C117" s="404" t="s">
        <v>751</v>
      </c>
      <c r="D117" s="452" t="s">
        <v>467</v>
      </c>
    </row>
    <row r="118" spans="2:4" x14ac:dyDescent="0.3">
      <c r="B118" s="613" t="s">
        <v>1244</v>
      </c>
      <c r="C118" s="404" t="s">
        <v>756</v>
      </c>
      <c r="D118" s="452" t="s">
        <v>467</v>
      </c>
    </row>
    <row r="119" spans="2:4" x14ac:dyDescent="0.3">
      <c r="B119" s="613" t="s">
        <v>1245</v>
      </c>
      <c r="C119" s="404" t="s">
        <v>756</v>
      </c>
      <c r="D119" s="452" t="s">
        <v>467</v>
      </c>
    </row>
    <row r="120" spans="2:4" x14ac:dyDescent="0.3">
      <c r="B120" s="613" t="s">
        <v>1245</v>
      </c>
      <c r="C120" s="430" t="s">
        <v>773</v>
      </c>
      <c r="D120" s="615" t="s">
        <v>213</v>
      </c>
    </row>
    <row r="121" spans="2:4" x14ac:dyDescent="0.3">
      <c r="B121" s="613" t="s">
        <v>1246</v>
      </c>
      <c r="C121" s="404" t="s">
        <v>1247</v>
      </c>
      <c r="D121" s="462"/>
    </row>
    <row r="122" spans="2:4" x14ac:dyDescent="0.3">
      <c r="B122" s="613" t="s">
        <v>1248</v>
      </c>
      <c r="C122" s="430" t="s">
        <v>773</v>
      </c>
      <c r="D122" s="615" t="s">
        <v>213</v>
      </c>
    </row>
    <row r="123" spans="2:4" x14ac:dyDescent="0.3">
      <c r="B123" s="613" t="s">
        <v>1249</v>
      </c>
      <c r="C123" s="404" t="s">
        <v>666</v>
      </c>
      <c r="D123" s="452" t="s">
        <v>213</v>
      </c>
    </row>
    <row r="124" spans="2:4" x14ac:dyDescent="0.3">
      <c r="B124" s="613" t="s">
        <v>1250</v>
      </c>
      <c r="C124" s="430" t="s">
        <v>679</v>
      </c>
      <c r="D124" s="452" t="s">
        <v>70</v>
      </c>
    </row>
    <row r="125" spans="2:4" x14ac:dyDescent="0.3">
      <c r="B125" s="613" t="s">
        <v>1251</v>
      </c>
      <c r="C125" s="404" t="s">
        <v>666</v>
      </c>
      <c r="D125" s="452" t="s">
        <v>213</v>
      </c>
    </row>
    <row r="126" spans="2:4" x14ac:dyDescent="0.3">
      <c r="B126" s="613" t="s">
        <v>1252</v>
      </c>
      <c r="C126" s="430" t="s">
        <v>679</v>
      </c>
      <c r="D126" s="452" t="s">
        <v>70</v>
      </c>
    </row>
    <row r="127" spans="2:4" x14ac:dyDescent="0.3">
      <c r="B127" s="613" t="s">
        <v>1253</v>
      </c>
      <c r="C127" s="404" t="s">
        <v>666</v>
      </c>
      <c r="D127" s="452" t="s">
        <v>213</v>
      </c>
    </row>
    <row r="128" spans="2:4" x14ac:dyDescent="0.3">
      <c r="B128" s="613" t="s">
        <v>1254</v>
      </c>
      <c r="C128" s="404" t="s">
        <v>666</v>
      </c>
      <c r="D128" s="452" t="s">
        <v>213</v>
      </c>
    </row>
    <row r="129" spans="2:4" x14ac:dyDescent="0.3">
      <c r="B129" s="613" t="s">
        <v>1255</v>
      </c>
      <c r="C129" s="404" t="s">
        <v>666</v>
      </c>
      <c r="D129" s="452" t="s">
        <v>213</v>
      </c>
    </row>
    <row r="130" spans="2:4" x14ac:dyDescent="0.3">
      <c r="B130" s="613" t="s">
        <v>1256</v>
      </c>
      <c r="C130" s="404" t="s">
        <v>666</v>
      </c>
      <c r="D130" s="452" t="s">
        <v>213</v>
      </c>
    </row>
    <row r="131" spans="2:4" x14ac:dyDescent="0.3">
      <c r="B131" s="613" t="s">
        <v>1257</v>
      </c>
      <c r="C131" s="404" t="s">
        <v>666</v>
      </c>
      <c r="D131" s="452" t="s">
        <v>213</v>
      </c>
    </row>
    <row r="132" spans="2:4" x14ac:dyDescent="0.3">
      <c r="B132" s="613" t="s">
        <v>670</v>
      </c>
      <c r="C132" s="404" t="s">
        <v>671</v>
      </c>
      <c r="D132" s="452" t="s">
        <v>467</v>
      </c>
    </row>
    <row r="133" spans="2:4" x14ac:dyDescent="0.3">
      <c r="B133" s="613" t="s">
        <v>1258</v>
      </c>
      <c r="C133" s="404" t="s">
        <v>679</v>
      </c>
      <c r="D133" s="452" t="s">
        <v>70</v>
      </c>
    </row>
    <row r="134" spans="2:4" x14ac:dyDescent="0.3">
      <c r="B134" s="613" t="s">
        <v>1259</v>
      </c>
      <c r="C134" s="404" t="s">
        <v>679</v>
      </c>
      <c r="D134" s="452" t="s">
        <v>70</v>
      </c>
    </row>
    <row r="135" spans="2:4" x14ac:dyDescent="0.3">
      <c r="B135" s="613" t="s">
        <v>1260</v>
      </c>
      <c r="C135" s="404" t="s">
        <v>679</v>
      </c>
      <c r="D135" s="452" t="s">
        <v>70</v>
      </c>
    </row>
    <row r="136" spans="2:4" x14ac:dyDescent="0.3">
      <c r="B136" s="613" t="s">
        <v>1261</v>
      </c>
      <c r="C136" s="404" t="s">
        <v>679</v>
      </c>
      <c r="D136" s="452" t="s">
        <v>70</v>
      </c>
    </row>
    <row r="137" spans="2:4" x14ac:dyDescent="0.3">
      <c r="B137" s="613" t="s">
        <v>1261</v>
      </c>
      <c r="C137" s="404" t="s">
        <v>679</v>
      </c>
      <c r="D137" s="452" t="s">
        <v>70</v>
      </c>
    </row>
    <row r="138" spans="2:4" x14ac:dyDescent="0.3">
      <c r="B138" s="613" t="s">
        <v>1261</v>
      </c>
      <c r="C138" s="404" t="s">
        <v>679</v>
      </c>
      <c r="D138" s="452" t="s">
        <v>70</v>
      </c>
    </row>
    <row r="139" spans="2:4" x14ac:dyDescent="0.3">
      <c r="B139" s="613" t="s">
        <v>1261</v>
      </c>
      <c r="C139" s="404" t="s">
        <v>679</v>
      </c>
      <c r="D139" s="452" t="s">
        <v>70</v>
      </c>
    </row>
    <row r="140" spans="2:4" x14ac:dyDescent="0.3">
      <c r="B140" s="613" t="s">
        <v>1261</v>
      </c>
      <c r="C140" s="404" t="s">
        <v>679</v>
      </c>
      <c r="D140" s="452" t="s">
        <v>70</v>
      </c>
    </row>
    <row r="141" spans="2:4" x14ac:dyDescent="0.3">
      <c r="B141" s="613" t="s">
        <v>1261</v>
      </c>
      <c r="C141" s="404" t="s">
        <v>679</v>
      </c>
      <c r="D141" s="452" t="s">
        <v>70</v>
      </c>
    </row>
    <row r="142" spans="2:4" x14ac:dyDescent="0.3">
      <c r="B142" s="613" t="s">
        <v>1262</v>
      </c>
      <c r="C142" s="404" t="s">
        <v>1263</v>
      </c>
      <c r="D142" s="452" t="s">
        <v>216</v>
      </c>
    </row>
    <row r="143" spans="2:4" x14ac:dyDescent="0.3">
      <c r="B143" s="613" t="s">
        <v>1264</v>
      </c>
      <c r="C143" s="404" t="s">
        <v>1263</v>
      </c>
      <c r="D143" s="452" t="s">
        <v>216</v>
      </c>
    </row>
    <row r="144" spans="2:4" x14ac:dyDescent="0.3">
      <c r="B144" s="613" t="s">
        <v>1265</v>
      </c>
      <c r="C144" s="404" t="s">
        <v>1263</v>
      </c>
      <c r="D144" s="452" t="s">
        <v>216</v>
      </c>
    </row>
    <row r="145" spans="2:4" x14ac:dyDescent="0.3">
      <c r="B145" s="613" t="s">
        <v>1266</v>
      </c>
      <c r="C145" s="404" t="s">
        <v>684</v>
      </c>
      <c r="D145" s="452" t="s">
        <v>486</v>
      </c>
    </row>
    <row r="146" spans="2:4" x14ac:dyDescent="0.3">
      <c r="B146" s="613" t="s">
        <v>1267</v>
      </c>
      <c r="C146" s="404" t="s">
        <v>484</v>
      </c>
      <c r="D146" s="452" t="s">
        <v>216</v>
      </c>
    </row>
    <row r="147" spans="2:4" ht="36.6" customHeight="1" x14ac:dyDescent="0.3">
      <c r="B147" s="613" t="s">
        <v>1268</v>
      </c>
      <c r="C147" s="382" t="s">
        <v>1269</v>
      </c>
      <c r="D147" s="452" t="s">
        <v>216</v>
      </c>
    </row>
    <row r="148" spans="2:4" x14ac:dyDescent="0.3">
      <c r="B148" s="613" t="s">
        <v>1270</v>
      </c>
      <c r="C148" s="404" t="s">
        <v>538</v>
      </c>
      <c r="D148" s="452" t="s">
        <v>216</v>
      </c>
    </row>
    <row r="149" spans="2:4" x14ac:dyDescent="0.3">
      <c r="B149" s="613" t="s">
        <v>1271</v>
      </c>
      <c r="C149" s="430" t="s">
        <v>989</v>
      </c>
      <c r="D149" s="452" t="s">
        <v>216</v>
      </c>
    </row>
    <row r="150" spans="2:4" x14ac:dyDescent="0.3">
      <c r="B150" s="613" t="s">
        <v>712</v>
      </c>
      <c r="C150" s="404" t="s">
        <v>713</v>
      </c>
      <c r="D150" s="452" t="s">
        <v>216</v>
      </c>
    </row>
    <row r="151" spans="2:4" x14ac:dyDescent="0.3">
      <c r="B151" s="613" t="s">
        <v>1272</v>
      </c>
      <c r="C151" s="404" t="s">
        <v>692</v>
      </c>
      <c r="D151" s="452" t="s">
        <v>486</v>
      </c>
    </row>
    <row r="152" spans="2:4" x14ac:dyDescent="0.3">
      <c r="B152" s="613" t="s">
        <v>1273</v>
      </c>
      <c r="C152" s="404" t="s">
        <v>692</v>
      </c>
      <c r="D152" s="452" t="s">
        <v>486</v>
      </c>
    </row>
    <row r="153" spans="2:4" x14ac:dyDescent="0.3">
      <c r="B153" s="613" t="s">
        <v>1274</v>
      </c>
      <c r="C153" s="404" t="s">
        <v>697</v>
      </c>
      <c r="D153" s="452" t="s">
        <v>486</v>
      </c>
    </row>
    <row r="154" spans="2:4" x14ac:dyDescent="0.3">
      <c r="B154" s="613" t="s">
        <v>1275</v>
      </c>
      <c r="C154" s="404" t="s">
        <v>697</v>
      </c>
      <c r="D154" s="452" t="s">
        <v>486</v>
      </c>
    </row>
    <row r="155" spans="2:4" x14ac:dyDescent="0.3">
      <c r="B155" s="613" t="s">
        <v>1276</v>
      </c>
      <c r="C155" s="404" t="s">
        <v>697</v>
      </c>
      <c r="D155" s="452" t="s">
        <v>486</v>
      </c>
    </row>
    <row r="156" spans="2:4" x14ac:dyDescent="0.3">
      <c r="B156" s="613" t="s">
        <v>1277</v>
      </c>
      <c r="C156" s="404" t="s">
        <v>697</v>
      </c>
      <c r="D156" s="452" t="s">
        <v>486</v>
      </c>
    </row>
    <row r="157" spans="2:4" x14ac:dyDescent="0.3">
      <c r="B157" s="613" t="s">
        <v>734</v>
      </c>
      <c r="C157" s="404" t="s">
        <v>732</v>
      </c>
      <c r="D157" s="452" t="s">
        <v>216</v>
      </c>
    </row>
    <row r="158" spans="2:4" ht="15" thickBot="1" x14ac:dyDescent="0.35">
      <c r="B158" s="616" t="s">
        <v>734</v>
      </c>
      <c r="C158" s="388" t="s">
        <v>735</v>
      </c>
      <c r="D158" s="442" t="s">
        <v>216</v>
      </c>
    </row>
    <row r="159" spans="2:4" x14ac:dyDescent="0.3"/>
    <row r="160" spans="2:4" x14ac:dyDescent="0.3"/>
    <row r="161" spans="2:2" x14ac:dyDescent="0.3"/>
    <row r="162" spans="2:2" x14ac:dyDescent="0.3"/>
    <row r="163" spans="2:2" x14ac:dyDescent="0.3">
      <c r="B163" s="250"/>
    </row>
    <row r="164" spans="2:2" x14ac:dyDescent="0.3">
      <c r="B164" s="250"/>
    </row>
    <row r="165" spans="2:2" x14ac:dyDescent="0.3">
      <c r="B165" s="250"/>
    </row>
    <row r="166" spans="2:2" x14ac:dyDescent="0.3">
      <c r="B166" s="250"/>
    </row>
    <row r="167" spans="2:2" x14ac:dyDescent="0.3">
      <c r="B167" s="250"/>
    </row>
    <row r="168" spans="2:2" x14ac:dyDescent="0.3">
      <c r="B168" s="250"/>
    </row>
    <row r="169" spans="2:2" hidden="1" x14ac:dyDescent="0.3">
      <c r="B169" s="250"/>
    </row>
    <row r="170" spans="2:2" hidden="1" x14ac:dyDescent="0.3">
      <c r="B170" s="250"/>
    </row>
    <row r="171" spans="2:2" hidden="1" x14ac:dyDescent="0.3">
      <c r="B171" s="250"/>
    </row>
    <row r="172" spans="2:2" hidden="1" x14ac:dyDescent="0.3">
      <c r="B172" s="250"/>
    </row>
    <row r="173" spans="2:2" hidden="1" x14ac:dyDescent="0.3">
      <c r="B173" s="250"/>
    </row>
    <row r="174" spans="2:2" hidden="1" x14ac:dyDescent="0.3">
      <c r="B174" s="250"/>
    </row>
    <row r="175" spans="2:2" hidden="1" x14ac:dyDescent="0.3">
      <c r="B175" s="250"/>
    </row>
    <row r="176" spans="2:2" hidden="1" x14ac:dyDescent="0.3">
      <c r="B176" s="250"/>
    </row>
    <row r="177" spans="2:2" hidden="1" x14ac:dyDescent="0.3">
      <c r="B177" s="250"/>
    </row>
    <row r="178" spans="2:2" hidden="1" x14ac:dyDescent="0.3">
      <c r="B178" s="250"/>
    </row>
    <row r="179" spans="2:2" hidden="1" x14ac:dyDescent="0.3">
      <c r="B179" s="250"/>
    </row>
    <row r="180" spans="2:2" hidden="1" x14ac:dyDescent="0.3">
      <c r="B180" s="250"/>
    </row>
    <row r="181" spans="2:2" hidden="1" x14ac:dyDescent="0.3">
      <c r="B181" s="250"/>
    </row>
    <row r="182" spans="2:2" hidden="1" x14ac:dyDescent="0.3">
      <c r="B182" s="250"/>
    </row>
    <row r="183" spans="2:2" hidden="1" x14ac:dyDescent="0.3">
      <c r="B183" s="250"/>
    </row>
    <row r="184" spans="2:2" hidden="1" x14ac:dyDescent="0.3">
      <c r="B184" s="250"/>
    </row>
    <row r="185" spans="2:2" hidden="1" x14ac:dyDescent="0.3">
      <c r="B185" s="250"/>
    </row>
    <row r="186" spans="2:2" hidden="1" x14ac:dyDescent="0.3">
      <c r="B186" s="250"/>
    </row>
    <row r="187" spans="2:2" hidden="1" x14ac:dyDescent="0.3">
      <c r="B187" s="250"/>
    </row>
    <row r="188" spans="2:2" hidden="1" x14ac:dyDescent="0.3">
      <c r="B188" s="250"/>
    </row>
    <row r="189" spans="2:2" hidden="1" x14ac:dyDescent="0.3">
      <c r="B189" s="250"/>
    </row>
    <row r="190" spans="2:2" hidden="1" x14ac:dyDescent="0.3">
      <c r="B190" s="250"/>
    </row>
    <row r="191" spans="2:2" hidden="1" x14ac:dyDescent="0.3">
      <c r="B191" s="250"/>
    </row>
    <row r="192" spans="2:2" hidden="1" x14ac:dyDescent="0.3">
      <c r="B192" s="250"/>
    </row>
    <row r="193" spans="2:2" hidden="1" x14ac:dyDescent="0.3">
      <c r="B193" s="250"/>
    </row>
    <row r="194" spans="2:2" hidden="1" x14ac:dyDescent="0.3">
      <c r="B194" s="250"/>
    </row>
    <row r="195" spans="2:2" hidden="1" x14ac:dyDescent="0.3">
      <c r="B195" s="250"/>
    </row>
    <row r="196" spans="2:2" hidden="1" x14ac:dyDescent="0.3">
      <c r="B196" s="250"/>
    </row>
    <row r="197" spans="2:2" hidden="1" x14ac:dyDescent="0.3">
      <c r="B197" s="250"/>
    </row>
    <row r="198" spans="2:2" hidden="1" x14ac:dyDescent="0.3">
      <c r="B198" s="250"/>
    </row>
    <row r="199" spans="2:2" hidden="1" x14ac:dyDescent="0.3">
      <c r="B199" s="250"/>
    </row>
    <row r="200" spans="2:2" hidden="1" x14ac:dyDescent="0.3">
      <c r="B200" s="250"/>
    </row>
    <row r="201" spans="2:2" hidden="1" x14ac:dyDescent="0.3">
      <c r="B201" s="250"/>
    </row>
    <row r="202" spans="2:2" hidden="1" x14ac:dyDescent="0.3">
      <c r="B202" s="250"/>
    </row>
    <row r="203" spans="2:2" hidden="1" x14ac:dyDescent="0.3">
      <c r="B203" s="250"/>
    </row>
    <row r="204" spans="2:2" hidden="1" x14ac:dyDescent="0.3">
      <c r="B204" s="250"/>
    </row>
    <row r="205" spans="2:2" hidden="1" x14ac:dyDescent="0.3">
      <c r="B205" s="250"/>
    </row>
    <row r="206" spans="2:2" hidden="1" x14ac:dyDescent="0.3">
      <c r="B206" s="250"/>
    </row>
    <row r="207" spans="2:2" hidden="1" x14ac:dyDescent="0.3">
      <c r="B207" s="250"/>
    </row>
    <row r="208" spans="2:2" hidden="1" x14ac:dyDescent="0.3">
      <c r="B208" s="250"/>
    </row>
    <row r="209" spans="2:2" hidden="1" x14ac:dyDescent="0.3">
      <c r="B209" s="250"/>
    </row>
    <row r="210" spans="2:2" hidden="1" x14ac:dyDescent="0.3">
      <c r="B210" s="250"/>
    </row>
    <row r="211" spans="2:2" hidden="1" x14ac:dyDescent="0.3">
      <c r="B211" s="250"/>
    </row>
    <row r="212" spans="2:2" hidden="1" x14ac:dyDescent="0.3">
      <c r="B212" s="250"/>
    </row>
    <row r="213" spans="2:2" hidden="1" x14ac:dyDescent="0.3">
      <c r="B213" s="250"/>
    </row>
    <row r="214" spans="2:2" hidden="1" x14ac:dyDescent="0.3">
      <c r="B214" s="250"/>
    </row>
    <row r="215" spans="2:2" hidden="1" x14ac:dyDescent="0.3">
      <c r="B215" s="250"/>
    </row>
    <row r="216" spans="2:2" hidden="1" x14ac:dyDescent="0.3">
      <c r="B216" s="251"/>
    </row>
  </sheetData>
  <sheetProtection algorithmName="SHA-512" hashValue="uv9zf9sHIrolTbZza29olpk3k9Bbb8E1F7EZb2ZrgPuO3gEOHCfkmKJkDwk+gH/4FE9HC/puXiCaIw6mprAqbg==" saltValue="oVyRey9W+no+myAEQu2NPA==" spinCount="100000" sheet="1" objects="1" scenarios="1"/>
  <autoFilter ref="B3:D154" xr:uid="{00000000-0009-0000-0000-000022000000}"/>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A9BF-C3F6-4622-8D04-B250AE65FFA3}">
  <sheetPr codeName="Sheet2">
    <tabColor rgb="FF00B0F0"/>
  </sheetPr>
  <dimension ref="B1:AH81"/>
  <sheetViews>
    <sheetView showGridLines="0" zoomScale="55" zoomScaleNormal="55" workbookViewId="0">
      <selection activeCell="U10" sqref="U10:Y10"/>
    </sheetView>
  </sheetViews>
  <sheetFormatPr defaultColWidth="8.77734375" defaultRowHeight="15.6" x14ac:dyDescent="0.3"/>
  <cols>
    <col min="1" max="7" width="8.77734375" style="557"/>
    <col min="8" max="8" width="12.5546875" style="557" customWidth="1"/>
    <col min="9" max="9" width="8.77734375" style="557" customWidth="1"/>
    <col min="10" max="10" width="3.5546875" style="557" customWidth="1"/>
    <col min="11" max="13" width="8.77734375" style="557"/>
    <col min="14" max="14" width="10.44140625" style="557" customWidth="1"/>
    <col min="15" max="15" width="8.77734375" style="557"/>
    <col min="16" max="16" width="11.44140625" style="557" customWidth="1"/>
    <col min="17" max="17" width="7.21875" style="557" customWidth="1"/>
    <col min="18" max="18" width="4.77734375" style="557" customWidth="1"/>
    <col min="19" max="19" width="26.21875" style="557" customWidth="1"/>
    <col min="20" max="20" width="12.44140625" style="557" customWidth="1"/>
    <col min="21" max="25" width="8.77734375" style="557"/>
    <col min="26" max="26" width="17.77734375" style="557" customWidth="1"/>
    <col min="27" max="27" width="49.21875" style="557" customWidth="1"/>
    <col min="28" max="16384" width="8.77734375" style="557"/>
  </cols>
  <sheetData>
    <row r="1" spans="2:34" ht="16.2" thickBot="1" x14ac:dyDescent="0.35"/>
    <row r="2" spans="2:34" ht="25.05" customHeight="1" x14ac:dyDescent="0.3">
      <c r="B2" s="1042" t="s">
        <v>30</v>
      </c>
      <c r="C2" s="1043"/>
      <c r="D2" s="1043"/>
      <c r="E2" s="1043"/>
      <c r="F2" s="1043"/>
      <c r="G2" s="1043"/>
      <c r="H2" s="1043"/>
      <c r="I2" s="1043"/>
      <c r="J2" s="1043"/>
      <c r="K2" s="1043"/>
      <c r="L2" s="1043"/>
      <c r="M2" s="1043"/>
      <c r="N2" s="1043"/>
      <c r="O2" s="1043"/>
      <c r="P2" s="1043"/>
      <c r="Q2" s="1043"/>
      <c r="R2" s="1043"/>
      <c r="S2" s="1043"/>
      <c r="T2" s="1043"/>
      <c r="U2" s="1043"/>
      <c r="V2" s="1043"/>
      <c r="W2" s="1043"/>
      <c r="X2" s="1043"/>
      <c r="Y2" s="1043"/>
      <c r="Z2" s="1043"/>
      <c r="AA2" s="1044"/>
    </row>
    <row r="3" spans="2:34" ht="15" customHeight="1" thickBot="1" x14ac:dyDescent="0.35">
      <c r="B3" s="1045"/>
      <c r="C3" s="1046"/>
      <c r="D3" s="1046"/>
      <c r="E3" s="1046"/>
      <c r="F3" s="1046"/>
      <c r="G3" s="1046"/>
      <c r="H3" s="1046"/>
      <c r="I3" s="1046"/>
      <c r="J3" s="1046"/>
      <c r="K3" s="1046"/>
      <c r="L3" s="1046"/>
      <c r="M3" s="1046"/>
      <c r="N3" s="1046"/>
      <c r="O3" s="1046"/>
      <c r="P3" s="1046"/>
      <c r="Q3" s="1046"/>
      <c r="R3" s="1046"/>
      <c r="S3" s="1046"/>
      <c r="T3" s="1046"/>
      <c r="U3" s="1046"/>
      <c r="V3" s="1046"/>
      <c r="W3" s="1046"/>
      <c r="X3" s="1046"/>
      <c r="Y3" s="1046"/>
      <c r="Z3" s="1046"/>
      <c r="AA3" s="1047"/>
    </row>
    <row r="4" spans="2:34" ht="15.6" customHeight="1" x14ac:dyDescent="0.3">
      <c r="B4" s="1033" t="s">
        <v>31</v>
      </c>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5"/>
    </row>
    <row r="5" spans="2:34" ht="5.0999999999999996" customHeight="1" thickBot="1" x14ac:dyDescent="0.35">
      <c r="B5" s="1036"/>
      <c r="C5" s="1037"/>
      <c r="D5" s="1037"/>
      <c r="E5" s="1037"/>
      <c r="F5" s="1037"/>
      <c r="G5" s="1037"/>
      <c r="H5" s="1037"/>
      <c r="I5" s="1037"/>
      <c r="J5" s="1037"/>
      <c r="K5" s="1037"/>
      <c r="L5" s="1037"/>
      <c r="M5" s="1037"/>
      <c r="N5" s="1037"/>
      <c r="O5" s="1037"/>
      <c r="P5" s="1037"/>
      <c r="Q5" s="1037"/>
      <c r="R5" s="1037"/>
      <c r="S5" s="1037"/>
      <c r="T5" s="1037"/>
      <c r="U5" s="1037"/>
      <c r="V5" s="1037"/>
      <c r="W5" s="1037"/>
      <c r="X5" s="1037"/>
      <c r="Y5" s="1037"/>
      <c r="Z5" s="1037"/>
      <c r="AA5" s="1038"/>
    </row>
    <row r="6" spans="2:34" ht="15.6" hidden="1" customHeight="1" x14ac:dyDescent="0.3">
      <c r="B6" s="1036"/>
      <c r="C6" s="1037"/>
      <c r="D6" s="1037"/>
      <c r="E6" s="1037"/>
      <c r="F6" s="1037"/>
      <c r="G6" s="1037"/>
      <c r="H6" s="1037"/>
      <c r="I6" s="1037"/>
      <c r="J6" s="1037"/>
      <c r="K6" s="1037"/>
      <c r="L6" s="1037"/>
      <c r="M6" s="1037"/>
      <c r="N6" s="1037"/>
      <c r="O6" s="1037"/>
      <c r="P6" s="1037"/>
      <c r="Q6" s="1037"/>
      <c r="R6" s="1037"/>
      <c r="S6" s="1037"/>
      <c r="T6" s="1037"/>
      <c r="U6" s="1037"/>
      <c r="V6" s="1037"/>
      <c r="W6" s="1037"/>
      <c r="X6" s="1037"/>
      <c r="Y6" s="1037"/>
      <c r="Z6" s="1037"/>
      <c r="AA6" s="1038"/>
    </row>
    <row r="7" spans="2:34" ht="14.1" hidden="1" customHeight="1" x14ac:dyDescent="0.3">
      <c r="B7" s="1036"/>
      <c r="C7" s="1037"/>
      <c r="D7" s="1037"/>
      <c r="E7" s="1037"/>
      <c r="F7" s="1037"/>
      <c r="G7" s="1037"/>
      <c r="H7" s="1037"/>
      <c r="I7" s="1037"/>
      <c r="J7" s="1037"/>
      <c r="K7" s="1037"/>
      <c r="L7" s="1037"/>
      <c r="M7" s="1037"/>
      <c r="N7" s="1037"/>
      <c r="O7" s="1037"/>
      <c r="P7" s="1037"/>
      <c r="Q7" s="1037"/>
      <c r="R7" s="1037"/>
      <c r="S7" s="1037"/>
      <c r="T7" s="1037"/>
      <c r="U7" s="1037"/>
      <c r="V7" s="1037"/>
      <c r="W7" s="1037"/>
      <c r="X7" s="1037"/>
      <c r="Y7" s="1037"/>
      <c r="Z7" s="1037"/>
      <c r="AA7" s="1038"/>
    </row>
    <row r="8" spans="2:34" ht="23.1" hidden="1" customHeight="1" thickBot="1" x14ac:dyDescent="0.35">
      <c r="B8" s="1039"/>
      <c r="C8" s="1040"/>
      <c r="D8" s="1040"/>
      <c r="E8" s="1040"/>
      <c r="F8" s="1040"/>
      <c r="G8" s="1040"/>
      <c r="H8" s="1040"/>
      <c r="I8" s="1040"/>
      <c r="J8" s="1040"/>
      <c r="K8" s="1040"/>
      <c r="L8" s="1040"/>
      <c r="M8" s="1040"/>
      <c r="N8" s="1040"/>
      <c r="O8" s="1040"/>
      <c r="P8" s="1040"/>
      <c r="Q8" s="1040"/>
      <c r="R8" s="1040"/>
      <c r="S8" s="1040"/>
      <c r="T8" s="1040"/>
      <c r="U8" s="1040"/>
      <c r="V8" s="1040"/>
      <c r="W8" s="1040"/>
      <c r="X8" s="1040"/>
      <c r="Y8" s="1040"/>
      <c r="Z8" s="1040"/>
      <c r="AA8" s="1041"/>
    </row>
    <row r="9" spans="2:34" s="591" customFormat="1" ht="40.049999999999997" customHeight="1" thickBot="1" x14ac:dyDescent="0.35">
      <c r="B9" s="993" t="s">
        <v>32</v>
      </c>
      <c r="C9" s="1030"/>
      <c r="D9" s="994"/>
      <c r="E9" s="993" t="s">
        <v>33</v>
      </c>
      <c r="F9" s="1030"/>
      <c r="G9" s="1030"/>
      <c r="H9" s="1030"/>
      <c r="I9" s="1030"/>
      <c r="J9" s="994"/>
      <c r="K9" s="993" t="s">
        <v>34</v>
      </c>
      <c r="L9" s="994"/>
      <c r="M9" s="993" t="s">
        <v>35</v>
      </c>
      <c r="N9" s="994"/>
      <c r="O9" s="1004" t="s">
        <v>36</v>
      </c>
      <c r="P9" s="1052"/>
      <c r="Q9" s="1052"/>
      <c r="R9" s="1005"/>
      <c r="S9" s="1004" t="s">
        <v>37</v>
      </c>
      <c r="T9" s="1005"/>
      <c r="U9" s="993" t="s">
        <v>38</v>
      </c>
      <c r="V9" s="1030"/>
      <c r="W9" s="1030"/>
      <c r="X9" s="1030"/>
      <c r="Y9" s="1030"/>
      <c r="Z9" s="1050" t="s">
        <v>1676</v>
      </c>
      <c r="AA9" s="1051"/>
    </row>
    <row r="10" spans="2:34" s="676" customFormat="1" ht="44.55" customHeight="1" x14ac:dyDescent="0.3">
      <c r="B10" s="1013" t="s">
        <v>45</v>
      </c>
      <c r="C10" s="1014"/>
      <c r="D10" s="1015"/>
      <c r="E10" s="988" t="s">
        <v>1685</v>
      </c>
      <c r="F10" s="990"/>
      <c r="G10" s="990"/>
      <c r="H10" s="990"/>
      <c r="I10" s="990"/>
      <c r="J10" s="989"/>
      <c r="K10" s="997"/>
      <c r="L10" s="998"/>
      <c r="M10" s="997"/>
      <c r="N10" s="998"/>
      <c r="O10" s="988" t="s">
        <v>300</v>
      </c>
      <c r="P10" s="990"/>
      <c r="Q10" s="990"/>
      <c r="R10" s="989"/>
      <c r="S10" s="988" t="s">
        <v>54</v>
      </c>
      <c r="T10" s="989"/>
      <c r="U10" s="988" t="s">
        <v>1686</v>
      </c>
      <c r="V10" s="990"/>
      <c r="W10" s="990"/>
      <c r="X10" s="990"/>
      <c r="Y10" s="990"/>
      <c r="Z10" s="675" t="s">
        <v>54</v>
      </c>
      <c r="AA10" s="674" t="str">
        <f>IF(AND($O10="Lost", $Z10&lt;&gt;"Yes"), "Irreplaceable habitat lost, bespoke compensation must be agreed with concenting body ▲", "")</f>
        <v/>
      </c>
      <c r="AB10" s="985" t="str">
        <f>IF(S10="Yes","Please provide a reference to the row number within the baseline where this habitat is mentioned ⚠", "")</f>
        <v/>
      </c>
      <c r="AC10" s="985"/>
      <c r="AD10" s="985"/>
      <c r="AE10" s="985"/>
      <c r="AF10" s="985"/>
      <c r="AG10" s="985"/>
      <c r="AH10" s="985"/>
    </row>
    <row r="11" spans="2:34" s="593" customFormat="1" ht="44.55" customHeight="1" x14ac:dyDescent="0.3">
      <c r="B11" s="1007"/>
      <c r="C11" s="1008"/>
      <c r="D11" s="1009"/>
      <c r="E11" s="986"/>
      <c r="F11" s="987"/>
      <c r="G11" s="987"/>
      <c r="H11" s="987"/>
      <c r="I11" s="987"/>
      <c r="J11" s="1010"/>
      <c r="K11" s="995"/>
      <c r="L11" s="996"/>
      <c r="M11" s="995"/>
      <c r="N11" s="996"/>
      <c r="O11" s="999"/>
      <c r="P11" s="1000"/>
      <c r="Q11" s="1000"/>
      <c r="R11" s="1001"/>
      <c r="S11" s="988"/>
      <c r="T11" s="989"/>
      <c r="U11" s="991"/>
      <c r="V11" s="992"/>
      <c r="W11" s="992"/>
      <c r="X11" s="992"/>
      <c r="Y11" s="992"/>
      <c r="Z11" s="677"/>
      <c r="AA11" s="674" t="str">
        <f t="shared" ref="AA11:AA31" si="0">IF(AND($O11="Lost", $Z11&lt;&gt;"Yes"), "Irreplaceable habitat lost, bespoke compensation must be agreed with concenting body ▲", "")</f>
        <v/>
      </c>
      <c r="AB11" s="985" t="str">
        <f t="shared" ref="AB11:AB31" si="1">IF(S11="Yes","Please provide a reference to the row number within the baseline where this habitat is mentioned ⚠", "")</f>
        <v/>
      </c>
      <c r="AC11" s="985"/>
      <c r="AD11" s="985"/>
      <c r="AE11" s="985"/>
      <c r="AF11" s="985"/>
      <c r="AG11" s="985"/>
      <c r="AH11" s="985"/>
    </row>
    <row r="12" spans="2:34" s="593" customFormat="1" ht="44.55" customHeight="1" x14ac:dyDescent="0.3">
      <c r="B12" s="1007"/>
      <c r="C12" s="1008"/>
      <c r="D12" s="1009"/>
      <c r="E12" s="986"/>
      <c r="F12" s="987"/>
      <c r="G12" s="987"/>
      <c r="H12" s="987"/>
      <c r="I12" s="987"/>
      <c r="J12" s="1010"/>
      <c r="K12" s="995"/>
      <c r="L12" s="996"/>
      <c r="M12" s="995"/>
      <c r="N12" s="996"/>
      <c r="O12" s="999"/>
      <c r="P12" s="1000"/>
      <c r="Q12" s="1000"/>
      <c r="R12" s="1001"/>
      <c r="S12" s="988"/>
      <c r="T12" s="989"/>
      <c r="U12" s="986"/>
      <c r="V12" s="987"/>
      <c r="W12" s="987"/>
      <c r="X12" s="987"/>
      <c r="Y12" s="987"/>
      <c r="Z12" s="677"/>
      <c r="AA12" s="674" t="str">
        <f t="shared" si="0"/>
        <v/>
      </c>
      <c r="AB12" s="984" t="str">
        <f t="shared" si="1"/>
        <v/>
      </c>
      <c r="AC12" s="984"/>
      <c r="AD12" s="984"/>
      <c r="AE12" s="984"/>
      <c r="AF12" s="984"/>
      <c r="AG12" s="984"/>
      <c r="AH12" s="984"/>
    </row>
    <row r="13" spans="2:34" s="593" customFormat="1" ht="44.55" customHeight="1" x14ac:dyDescent="0.3">
      <c r="B13" s="1007"/>
      <c r="C13" s="1008"/>
      <c r="D13" s="1009"/>
      <c r="E13" s="986"/>
      <c r="F13" s="987"/>
      <c r="G13" s="987"/>
      <c r="H13" s="987"/>
      <c r="I13" s="987"/>
      <c r="J13" s="1010"/>
      <c r="K13" s="995"/>
      <c r="L13" s="996"/>
      <c r="M13" s="995"/>
      <c r="N13" s="996"/>
      <c r="O13" s="999"/>
      <c r="P13" s="1000"/>
      <c r="Q13" s="1000"/>
      <c r="R13" s="1001"/>
      <c r="S13" s="988"/>
      <c r="T13" s="989"/>
      <c r="U13" s="986"/>
      <c r="V13" s="987"/>
      <c r="W13" s="987"/>
      <c r="X13" s="987"/>
      <c r="Y13" s="987"/>
      <c r="Z13" s="677"/>
      <c r="AA13" s="674" t="str">
        <f t="shared" si="0"/>
        <v/>
      </c>
      <c r="AB13" s="984" t="str">
        <f t="shared" si="1"/>
        <v/>
      </c>
      <c r="AC13" s="984"/>
      <c r="AD13" s="984"/>
      <c r="AE13" s="984"/>
      <c r="AF13" s="984"/>
      <c r="AG13" s="984"/>
      <c r="AH13" s="984"/>
    </row>
    <row r="14" spans="2:34" s="593" customFormat="1" ht="44.55" customHeight="1" x14ac:dyDescent="0.3">
      <c r="B14" s="1007"/>
      <c r="C14" s="1008"/>
      <c r="D14" s="1009"/>
      <c r="E14" s="986"/>
      <c r="F14" s="987"/>
      <c r="G14" s="987"/>
      <c r="H14" s="987"/>
      <c r="I14" s="987"/>
      <c r="J14" s="1010"/>
      <c r="K14" s="995"/>
      <c r="L14" s="996"/>
      <c r="M14" s="995"/>
      <c r="N14" s="996"/>
      <c r="O14" s="999"/>
      <c r="P14" s="1000"/>
      <c r="Q14" s="1000"/>
      <c r="R14" s="1001"/>
      <c r="S14" s="988"/>
      <c r="T14" s="989"/>
      <c r="U14" s="986"/>
      <c r="V14" s="987"/>
      <c r="W14" s="987"/>
      <c r="X14" s="987"/>
      <c r="Y14" s="987"/>
      <c r="Z14" s="677"/>
      <c r="AA14" s="674" t="str">
        <f t="shared" si="0"/>
        <v/>
      </c>
      <c r="AB14" s="984" t="str">
        <f t="shared" si="1"/>
        <v/>
      </c>
      <c r="AC14" s="984"/>
      <c r="AD14" s="984"/>
      <c r="AE14" s="984"/>
      <c r="AF14" s="984"/>
      <c r="AG14" s="984"/>
      <c r="AH14" s="984"/>
    </row>
    <row r="15" spans="2:34" s="593" customFormat="1" ht="44.55" customHeight="1" x14ac:dyDescent="0.3">
      <c r="B15" s="1007"/>
      <c r="C15" s="1008"/>
      <c r="D15" s="1009"/>
      <c r="E15" s="986"/>
      <c r="F15" s="987"/>
      <c r="G15" s="987"/>
      <c r="H15" s="987"/>
      <c r="I15" s="987"/>
      <c r="J15" s="1010"/>
      <c r="K15" s="995"/>
      <c r="L15" s="996"/>
      <c r="M15" s="995"/>
      <c r="N15" s="996"/>
      <c r="O15" s="999"/>
      <c r="P15" s="1000"/>
      <c r="Q15" s="1000"/>
      <c r="R15" s="1001"/>
      <c r="S15" s="988"/>
      <c r="T15" s="989"/>
      <c r="U15" s="986"/>
      <c r="V15" s="987"/>
      <c r="W15" s="987"/>
      <c r="X15" s="987"/>
      <c r="Y15" s="987"/>
      <c r="Z15" s="677"/>
      <c r="AA15" s="674" t="str">
        <f t="shared" si="0"/>
        <v/>
      </c>
      <c r="AB15" s="984" t="str">
        <f t="shared" si="1"/>
        <v/>
      </c>
      <c r="AC15" s="984"/>
      <c r="AD15" s="984"/>
      <c r="AE15" s="984"/>
      <c r="AF15" s="984"/>
      <c r="AG15" s="984"/>
      <c r="AH15" s="984"/>
    </row>
    <row r="16" spans="2:34" s="593" customFormat="1" ht="44.55" customHeight="1" x14ac:dyDescent="0.3">
      <c r="B16" s="1007"/>
      <c r="C16" s="1008"/>
      <c r="D16" s="1009"/>
      <c r="E16" s="986"/>
      <c r="F16" s="987"/>
      <c r="G16" s="987"/>
      <c r="H16" s="987"/>
      <c r="I16" s="987"/>
      <c r="J16" s="1010"/>
      <c r="K16" s="995"/>
      <c r="L16" s="996"/>
      <c r="M16" s="995"/>
      <c r="N16" s="996"/>
      <c r="O16" s="999"/>
      <c r="P16" s="1000"/>
      <c r="Q16" s="1000"/>
      <c r="R16" s="1001"/>
      <c r="S16" s="988"/>
      <c r="T16" s="989"/>
      <c r="U16" s="986"/>
      <c r="V16" s="987"/>
      <c r="W16" s="987"/>
      <c r="X16" s="987"/>
      <c r="Y16" s="987"/>
      <c r="Z16" s="677"/>
      <c r="AA16" s="674" t="str">
        <f t="shared" si="0"/>
        <v/>
      </c>
      <c r="AB16" s="984" t="str">
        <f t="shared" si="1"/>
        <v/>
      </c>
      <c r="AC16" s="984"/>
      <c r="AD16" s="984"/>
      <c r="AE16" s="984"/>
      <c r="AF16" s="984"/>
      <c r="AG16" s="984"/>
      <c r="AH16" s="984"/>
    </row>
    <row r="17" spans="2:34" s="593" customFormat="1" ht="44.55" customHeight="1" x14ac:dyDescent="0.3">
      <c r="B17" s="1007"/>
      <c r="C17" s="1008"/>
      <c r="D17" s="1009"/>
      <c r="E17" s="986"/>
      <c r="F17" s="987"/>
      <c r="G17" s="987"/>
      <c r="H17" s="987"/>
      <c r="I17" s="987"/>
      <c r="J17" s="1010"/>
      <c r="K17" s="995"/>
      <c r="L17" s="996"/>
      <c r="M17" s="995"/>
      <c r="N17" s="996"/>
      <c r="O17" s="999"/>
      <c r="P17" s="1000"/>
      <c r="Q17" s="1000"/>
      <c r="R17" s="1001"/>
      <c r="S17" s="988"/>
      <c r="T17" s="989"/>
      <c r="U17" s="986"/>
      <c r="V17" s="987"/>
      <c r="W17" s="987"/>
      <c r="X17" s="987"/>
      <c r="Y17" s="987"/>
      <c r="Z17" s="677"/>
      <c r="AA17" s="674" t="str">
        <f t="shared" si="0"/>
        <v/>
      </c>
      <c r="AB17" s="984" t="str">
        <f t="shared" si="1"/>
        <v/>
      </c>
      <c r="AC17" s="984"/>
      <c r="AD17" s="984"/>
      <c r="AE17" s="984"/>
      <c r="AF17" s="984"/>
      <c r="AG17" s="984"/>
      <c r="AH17" s="984"/>
    </row>
    <row r="18" spans="2:34" s="593" customFormat="1" ht="44.55" customHeight="1" x14ac:dyDescent="0.3">
      <c r="B18" s="1007"/>
      <c r="C18" s="1008"/>
      <c r="D18" s="1009"/>
      <c r="E18" s="986"/>
      <c r="F18" s="987"/>
      <c r="G18" s="987"/>
      <c r="H18" s="987"/>
      <c r="I18" s="987"/>
      <c r="J18" s="1010"/>
      <c r="K18" s="995"/>
      <c r="L18" s="996"/>
      <c r="M18" s="995"/>
      <c r="N18" s="996"/>
      <c r="O18" s="999"/>
      <c r="P18" s="1000"/>
      <c r="Q18" s="1000"/>
      <c r="R18" s="1001"/>
      <c r="S18" s="988"/>
      <c r="T18" s="989"/>
      <c r="U18" s="986"/>
      <c r="V18" s="987"/>
      <c r="W18" s="987"/>
      <c r="X18" s="987"/>
      <c r="Y18" s="987"/>
      <c r="Z18" s="677"/>
      <c r="AA18" s="674" t="str">
        <f t="shared" si="0"/>
        <v/>
      </c>
      <c r="AB18" s="984" t="str">
        <f t="shared" si="1"/>
        <v/>
      </c>
      <c r="AC18" s="984"/>
      <c r="AD18" s="984"/>
      <c r="AE18" s="984"/>
      <c r="AF18" s="984"/>
      <c r="AG18" s="984"/>
      <c r="AH18" s="984"/>
    </row>
    <row r="19" spans="2:34" s="593" customFormat="1" ht="44.55" customHeight="1" x14ac:dyDescent="0.3">
      <c r="B19" s="1007"/>
      <c r="C19" s="1008"/>
      <c r="D19" s="1009"/>
      <c r="E19" s="986"/>
      <c r="F19" s="987"/>
      <c r="G19" s="987"/>
      <c r="H19" s="987"/>
      <c r="I19" s="987"/>
      <c r="J19" s="1010"/>
      <c r="K19" s="995"/>
      <c r="L19" s="996"/>
      <c r="M19" s="995"/>
      <c r="N19" s="996"/>
      <c r="O19" s="999"/>
      <c r="P19" s="1000"/>
      <c r="Q19" s="1000"/>
      <c r="R19" s="1001"/>
      <c r="S19" s="988"/>
      <c r="T19" s="989"/>
      <c r="U19" s="986"/>
      <c r="V19" s="987"/>
      <c r="W19" s="987"/>
      <c r="X19" s="987"/>
      <c r="Y19" s="987"/>
      <c r="Z19" s="677"/>
      <c r="AA19" s="674" t="str">
        <f t="shared" si="0"/>
        <v/>
      </c>
      <c r="AB19" s="984" t="str">
        <f t="shared" si="1"/>
        <v/>
      </c>
      <c r="AC19" s="984"/>
      <c r="AD19" s="984"/>
      <c r="AE19" s="984"/>
      <c r="AF19" s="984"/>
      <c r="AG19" s="984"/>
      <c r="AH19" s="984"/>
    </row>
    <row r="20" spans="2:34" s="593" customFormat="1" ht="44.55" customHeight="1" x14ac:dyDescent="0.3">
      <c r="B20" s="1007"/>
      <c r="C20" s="1008"/>
      <c r="D20" s="1009"/>
      <c r="E20" s="986"/>
      <c r="F20" s="987"/>
      <c r="G20" s="987"/>
      <c r="H20" s="987"/>
      <c r="I20" s="987"/>
      <c r="J20" s="1010"/>
      <c r="K20" s="995"/>
      <c r="L20" s="996"/>
      <c r="M20" s="995"/>
      <c r="N20" s="996"/>
      <c r="O20" s="999"/>
      <c r="P20" s="1000"/>
      <c r="Q20" s="1000"/>
      <c r="R20" s="1001"/>
      <c r="S20" s="988"/>
      <c r="T20" s="989"/>
      <c r="U20" s="986"/>
      <c r="V20" s="987"/>
      <c r="W20" s="987"/>
      <c r="X20" s="987"/>
      <c r="Y20" s="987"/>
      <c r="Z20" s="677"/>
      <c r="AA20" s="674" t="str">
        <f t="shared" si="0"/>
        <v/>
      </c>
      <c r="AB20" s="984" t="str">
        <f t="shared" si="1"/>
        <v/>
      </c>
      <c r="AC20" s="984"/>
      <c r="AD20" s="984"/>
      <c r="AE20" s="984"/>
      <c r="AF20" s="984"/>
      <c r="AG20" s="984"/>
      <c r="AH20" s="984"/>
    </row>
    <row r="21" spans="2:34" s="593" customFormat="1" ht="44.55" customHeight="1" x14ac:dyDescent="0.3">
      <c r="B21" s="1007"/>
      <c r="C21" s="1008"/>
      <c r="D21" s="1009"/>
      <c r="E21" s="986"/>
      <c r="F21" s="987"/>
      <c r="G21" s="987"/>
      <c r="H21" s="987"/>
      <c r="I21" s="987"/>
      <c r="J21" s="1010"/>
      <c r="K21" s="995"/>
      <c r="L21" s="996"/>
      <c r="M21" s="995"/>
      <c r="N21" s="996"/>
      <c r="O21" s="999"/>
      <c r="P21" s="1000"/>
      <c r="Q21" s="1000"/>
      <c r="R21" s="1001"/>
      <c r="S21" s="988"/>
      <c r="T21" s="989"/>
      <c r="U21" s="986"/>
      <c r="V21" s="987"/>
      <c r="W21" s="987"/>
      <c r="X21" s="987"/>
      <c r="Y21" s="987"/>
      <c r="Z21" s="677"/>
      <c r="AA21" s="674" t="str">
        <f t="shared" si="0"/>
        <v/>
      </c>
      <c r="AB21" s="984" t="str">
        <f t="shared" si="1"/>
        <v/>
      </c>
      <c r="AC21" s="984"/>
      <c r="AD21" s="984"/>
      <c r="AE21" s="984"/>
      <c r="AF21" s="984"/>
      <c r="AG21" s="984"/>
      <c r="AH21" s="984"/>
    </row>
    <row r="22" spans="2:34" s="593" customFormat="1" ht="44.55" customHeight="1" x14ac:dyDescent="0.3">
      <c r="B22" s="1007"/>
      <c r="C22" s="1008"/>
      <c r="D22" s="1009"/>
      <c r="E22" s="986"/>
      <c r="F22" s="987"/>
      <c r="G22" s="987"/>
      <c r="H22" s="987"/>
      <c r="I22" s="987"/>
      <c r="J22" s="1010"/>
      <c r="K22" s="995"/>
      <c r="L22" s="996"/>
      <c r="M22" s="995"/>
      <c r="N22" s="996"/>
      <c r="O22" s="999"/>
      <c r="P22" s="1000"/>
      <c r="Q22" s="1000"/>
      <c r="R22" s="1001"/>
      <c r="S22" s="988"/>
      <c r="T22" s="989"/>
      <c r="U22" s="986"/>
      <c r="V22" s="987"/>
      <c r="W22" s="987"/>
      <c r="X22" s="987"/>
      <c r="Y22" s="987"/>
      <c r="Z22" s="677"/>
      <c r="AA22" s="674" t="str">
        <f t="shared" si="0"/>
        <v/>
      </c>
      <c r="AB22" s="984" t="str">
        <f t="shared" si="1"/>
        <v/>
      </c>
      <c r="AC22" s="984"/>
      <c r="AD22" s="984"/>
      <c r="AE22" s="984"/>
      <c r="AF22" s="984"/>
      <c r="AG22" s="984"/>
      <c r="AH22" s="984"/>
    </row>
    <row r="23" spans="2:34" s="593" customFormat="1" ht="44.55" customHeight="1" x14ac:dyDescent="0.3">
      <c r="B23" s="1007"/>
      <c r="C23" s="1008"/>
      <c r="D23" s="1009"/>
      <c r="E23" s="986"/>
      <c r="F23" s="987"/>
      <c r="G23" s="987"/>
      <c r="H23" s="987"/>
      <c r="I23" s="987"/>
      <c r="J23" s="1010"/>
      <c r="K23" s="995"/>
      <c r="L23" s="996"/>
      <c r="M23" s="995"/>
      <c r="N23" s="996"/>
      <c r="O23" s="999"/>
      <c r="P23" s="1000"/>
      <c r="Q23" s="1000"/>
      <c r="R23" s="1001"/>
      <c r="S23" s="988"/>
      <c r="T23" s="989"/>
      <c r="U23" s="986"/>
      <c r="V23" s="987"/>
      <c r="W23" s="987"/>
      <c r="X23" s="987"/>
      <c r="Y23" s="987"/>
      <c r="Z23" s="677"/>
      <c r="AA23" s="674" t="str">
        <f t="shared" si="0"/>
        <v/>
      </c>
      <c r="AB23" s="984" t="str">
        <f t="shared" si="1"/>
        <v/>
      </c>
      <c r="AC23" s="984"/>
      <c r="AD23" s="984"/>
      <c r="AE23" s="984"/>
      <c r="AF23" s="984"/>
      <c r="AG23" s="984"/>
      <c r="AH23" s="984"/>
    </row>
    <row r="24" spans="2:34" s="593" customFormat="1" ht="44.55" customHeight="1" x14ac:dyDescent="0.3">
      <c r="B24" s="1007"/>
      <c r="C24" s="1008"/>
      <c r="D24" s="1009"/>
      <c r="E24" s="986"/>
      <c r="F24" s="987"/>
      <c r="G24" s="987"/>
      <c r="H24" s="987"/>
      <c r="I24" s="987"/>
      <c r="J24" s="1010"/>
      <c r="K24" s="995"/>
      <c r="L24" s="996"/>
      <c r="M24" s="995"/>
      <c r="N24" s="996"/>
      <c r="O24" s="999"/>
      <c r="P24" s="1000"/>
      <c r="Q24" s="1000"/>
      <c r="R24" s="1001"/>
      <c r="S24" s="988"/>
      <c r="T24" s="989"/>
      <c r="U24" s="986"/>
      <c r="V24" s="987"/>
      <c r="W24" s="987"/>
      <c r="X24" s="987"/>
      <c r="Y24" s="987"/>
      <c r="Z24" s="677"/>
      <c r="AA24" s="674" t="str">
        <f t="shared" si="0"/>
        <v/>
      </c>
      <c r="AB24" s="984" t="str">
        <f t="shared" si="1"/>
        <v/>
      </c>
      <c r="AC24" s="984"/>
      <c r="AD24" s="984"/>
      <c r="AE24" s="984"/>
      <c r="AF24" s="984"/>
      <c r="AG24" s="984"/>
      <c r="AH24" s="984"/>
    </row>
    <row r="25" spans="2:34" s="593" customFormat="1" ht="44.55" customHeight="1" x14ac:dyDescent="0.3">
      <c r="B25" s="1007"/>
      <c r="C25" s="1008"/>
      <c r="D25" s="1009"/>
      <c r="E25" s="986"/>
      <c r="F25" s="987"/>
      <c r="G25" s="987"/>
      <c r="H25" s="987"/>
      <c r="I25" s="987"/>
      <c r="J25" s="1010"/>
      <c r="K25" s="1011"/>
      <c r="L25" s="1012"/>
      <c r="M25" s="995"/>
      <c r="N25" s="996"/>
      <c r="O25" s="999"/>
      <c r="P25" s="1000"/>
      <c r="Q25" s="1000"/>
      <c r="R25" s="1001"/>
      <c r="S25" s="988"/>
      <c r="T25" s="989"/>
      <c r="U25" s="986"/>
      <c r="V25" s="987"/>
      <c r="W25" s="987"/>
      <c r="X25" s="987"/>
      <c r="Y25" s="987"/>
      <c r="Z25" s="677"/>
      <c r="AA25" s="674" t="str">
        <f t="shared" si="0"/>
        <v/>
      </c>
      <c r="AB25" s="984" t="str">
        <f t="shared" si="1"/>
        <v/>
      </c>
      <c r="AC25" s="984"/>
      <c r="AD25" s="984"/>
      <c r="AE25" s="984"/>
      <c r="AF25" s="984"/>
      <c r="AG25" s="984"/>
      <c r="AH25" s="984"/>
    </row>
    <row r="26" spans="2:34" s="593" customFormat="1" ht="44.55" customHeight="1" x14ac:dyDescent="0.3">
      <c r="B26" s="1007"/>
      <c r="C26" s="1008"/>
      <c r="D26" s="1009"/>
      <c r="E26" s="986"/>
      <c r="F26" s="987"/>
      <c r="G26" s="987"/>
      <c r="H26" s="987"/>
      <c r="I26" s="987"/>
      <c r="J26" s="1010"/>
      <c r="K26" s="995"/>
      <c r="L26" s="996"/>
      <c r="M26" s="995"/>
      <c r="N26" s="996"/>
      <c r="O26" s="999"/>
      <c r="P26" s="1000"/>
      <c r="Q26" s="1000"/>
      <c r="R26" s="1001"/>
      <c r="S26" s="988"/>
      <c r="T26" s="989"/>
      <c r="U26" s="986"/>
      <c r="V26" s="987"/>
      <c r="W26" s="987"/>
      <c r="X26" s="987"/>
      <c r="Y26" s="987"/>
      <c r="Z26" s="677"/>
      <c r="AA26" s="674" t="str">
        <f t="shared" si="0"/>
        <v/>
      </c>
      <c r="AB26" s="984" t="str">
        <f t="shared" si="1"/>
        <v/>
      </c>
      <c r="AC26" s="984"/>
      <c r="AD26" s="984"/>
      <c r="AE26" s="984"/>
      <c r="AF26" s="984"/>
      <c r="AG26" s="984"/>
      <c r="AH26" s="984"/>
    </row>
    <row r="27" spans="2:34" s="593" customFormat="1" ht="44.55" customHeight="1" x14ac:dyDescent="0.3">
      <c r="B27" s="1007"/>
      <c r="C27" s="1008"/>
      <c r="D27" s="1009"/>
      <c r="E27" s="986"/>
      <c r="F27" s="987"/>
      <c r="G27" s="987"/>
      <c r="H27" s="987"/>
      <c r="I27" s="987"/>
      <c r="J27" s="1010"/>
      <c r="K27" s="995"/>
      <c r="L27" s="996"/>
      <c r="M27" s="995"/>
      <c r="N27" s="996"/>
      <c r="O27" s="999"/>
      <c r="P27" s="1000"/>
      <c r="Q27" s="1000"/>
      <c r="R27" s="1001"/>
      <c r="S27" s="988"/>
      <c r="T27" s="989"/>
      <c r="U27" s="986"/>
      <c r="V27" s="987"/>
      <c r="W27" s="987"/>
      <c r="X27" s="987"/>
      <c r="Y27" s="987"/>
      <c r="Z27" s="677"/>
      <c r="AA27" s="674" t="str">
        <f t="shared" si="0"/>
        <v/>
      </c>
      <c r="AB27" s="984" t="str">
        <f t="shared" si="1"/>
        <v/>
      </c>
      <c r="AC27" s="984"/>
      <c r="AD27" s="984"/>
      <c r="AE27" s="984"/>
      <c r="AF27" s="984"/>
      <c r="AG27" s="984"/>
      <c r="AH27" s="984"/>
    </row>
    <row r="28" spans="2:34" s="593" customFormat="1" ht="44.55" customHeight="1" x14ac:dyDescent="0.3">
      <c r="B28" s="1007"/>
      <c r="C28" s="1008"/>
      <c r="D28" s="1009"/>
      <c r="E28" s="986"/>
      <c r="F28" s="987"/>
      <c r="G28" s="987"/>
      <c r="H28" s="987"/>
      <c r="I28" s="987"/>
      <c r="J28" s="1010"/>
      <c r="K28" s="995"/>
      <c r="L28" s="996"/>
      <c r="M28" s="995"/>
      <c r="N28" s="996"/>
      <c r="O28" s="999"/>
      <c r="P28" s="1000"/>
      <c r="Q28" s="1000"/>
      <c r="R28" s="1001"/>
      <c r="S28" s="988"/>
      <c r="T28" s="989"/>
      <c r="U28" s="986"/>
      <c r="V28" s="987"/>
      <c r="W28" s="987"/>
      <c r="X28" s="987"/>
      <c r="Y28" s="987"/>
      <c r="Z28" s="677"/>
      <c r="AA28" s="674" t="str">
        <f t="shared" si="0"/>
        <v/>
      </c>
      <c r="AB28" s="984" t="str">
        <f t="shared" si="1"/>
        <v/>
      </c>
      <c r="AC28" s="984"/>
      <c r="AD28" s="984"/>
      <c r="AE28" s="984"/>
      <c r="AF28" s="984"/>
      <c r="AG28" s="984"/>
      <c r="AH28" s="984"/>
    </row>
    <row r="29" spans="2:34" s="593" customFormat="1" ht="44.55" customHeight="1" x14ac:dyDescent="0.3">
      <c r="B29" s="1007"/>
      <c r="C29" s="1008"/>
      <c r="D29" s="1009"/>
      <c r="E29" s="986"/>
      <c r="F29" s="987"/>
      <c r="G29" s="987"/>
      <c r="H29" s="987"/>
      <c r="I29" s="987"/>
      <c r="J29" s="1010"/>
      <c r="K29" s="995"/>
      <c r="L29" s="996"/>
      <c r="M29" s="995"/>
      <c r="N29" s="996"/>
      <c r="O29" s="999"/>
      <c r="P29" s="1000"/>
      <c r="Q29" s="1000"/>
      <c r="R29" s="1001"/>
      <c r="S29" s="988"/>
      <c r="T29" s="989"/>
      <c r="U29" s="986"/>
      <c r="V29" s="987"/>
      <c r="W29" s="987"/>
      <c r="X29" s="987"/>
      <c r="Y29" s="987"/>
      <c r="Z29" s="677"/>
      <c r="AA29" s="674" t="str">
        <f t="shared" si="0"/>
        <v/>
      </c>
      <c r="AB29" s="984" t="str">
        <f t="shared" si="1"/>
        <v/>
      </c>
      <c r="AC29" s="984"/>
      <c r="AD29" s="984"/>
      <c r="AE29" s="984"/>
      <c r="AF29" s="984"/>
      <c r="AG29" s="984"/>
      <c r="AH29" s="984"/>
    </row>
    <row r="30" spans="2:34" s="593" customFormat="1" ht="44.55" customHeight="1" x14ac:dyDescent="0.3">
      <c r="B30" s="1007"/>
      <c r="C30" s="1008"/>
      <c r="D30" s="1009"/>
      <c r="E30" s="986"/>
      <c r="F30" s="987"/>
      <c r="G30" s="987"/>
      <c r="H30" s="987"/>
      <c r="I30" s="987"/>
      <c r="J30" s="1010"/>
      <c r="K30" s="995"/>
      <c r="L30" s="996"/>
      <c r="M30" s="995"/>
      <c r="N30" s="996"/>
      <c r="O30" s="999"/>
      <c r="P30" s="1000"/>
      <c r="Q30" s="1000"/>
      <c r="R30" s="1001"/>
      <c r="S30" s="988"/>
      <c r="T30" s="989"/>
      <c r="U30" s="986"/>
      <c r="V30" s="987"/>
      <c r="W30" s="987"/>
      <c r="X30" s="987"/>
      <c r="Y30" s="987"/>
      <c r="Z30" s="677"/>
      <c r="AA30" s="674" t="str">
        <f t="shared" si="0"/>
        <v/>
      </c>
      <c r="AB30" s="984" t="str">
        <f t="shared" si="1"/>
        <v/>
      </c>
      <c r="AC30" s="984"/>
      <c r="AD30" s="984"/>
      <c r="AE30" s="984"/>
      <c r="AF30" s="984"/>
      <c r="AG30" s="984"/>
      <c r="AH30" s="984"/>
    </row>
    <row r="31" spans="2:34" s="593" customFormat="1" ht="44.55" customHeight="1" thickBot="1" x14ac:dyDescent="0.35">
      <c r="B31" s="1019"/>
      <c r="C31" s="1020"/>
      <c r="D31" s="1021"/>
      <c r="E31" s="1025"/>
      <c r="F31" s="1026"/>
      <c r="G31" s="1026"/>
      <c r="H31" s="1026"/>
      <c r="I31" s="1026"/>
      <c r="J31" s="1027"/>
      <c r="K31" s="1028"/>
      <c r="L31" s="1029"/>
      <c r="M31" s="1028"/>
      <c r="N31" s="1029"/>
      <c r="O31" s="1022"/>
      <c r="P31" s="1023"/>
      <c r="Q31" s="1023"/>
      <c r="R31" s="1024"/>
      <c r="S31" s="988"/>
      <c r="T31" s="989"/>
      <c r="U31" s="1025"/>
      <c r="V31" s="1026"/>
      <c r="W31" s="1026"/>
      <c r="X31" s="1026"/>
      <c r="Y31" s="1026"/>
      <c r="Z31" s="678"/>
      <c r="AA31" s="674" t="str">
        <f t="shared" si="0"/>
        <v/>
      </c>
      <c r="AB31" s="984" t="str">
        <f t="shared" si="1"/>
        <v/>
      </c>
      <c r="AC31" s="984"/>
      <c r="AD31" s="984"/>
      <c r="AE31" s="984"/>
      <c r="AF31" s="984"/>
      <c r="AG31" s="984"/>
      <c r="AH31" s="984"/>
    </row>
    <row r="32" spans="2:34" ht="16.05" customHeight="1" thickBot="1" x14ac:dyDescent="0.35">
      <c r="B32" s="1016"/>
      <c r="C32" s="1017"/>
      <c r="D32" s="1018"/>
      <c r="E32" s="1016"/>
      <c r="F32" s="1017"/>
      <c r="G32" s="1017"/>
      <c r="H32" s="1017"/>
      <c r="I32" s="1017"/>
      <c r="J32" s="1018"/>
      <c r="K32" s="1031">
        <f>SUM(K10:L31)</f>
        <v>0</v>
      </c>
      <c r="L32" s="1032"/>
      <c r="M32" s="1031">
        <f>SUM(M10:N31)</f>
        <v>0</v>
      </c>
      <c r="N32" s="1032"/>
      <c r="O32" s="1053"/>
      <c r="P32" s="1054"/>
      <c r="Q32" s="1054"/>
      <c r="R32" s="1055"/>
      <c r="S32" s="656"/>
      <c r="T32" s="656"/>
      <c r="U32" s="1016"/>
      <c r="V32" s="1017"/>
      <c r="W32" s="1017"/>
      <c r="X32" s="1017"/>
      <c r="Y32" s="1017"/>
      <c r="Z32" s="1017"/>
      <c r="AA32" s="1018"/>
    </row>
    <row r="33" spans="2:27" ht="31.5" customHeight="1" x14ac:dyDescent="0.3"/>
    <row r="34" spans="2:27" ht="19.5" customHeight="1" thickBot="1" x14ac:dyDescent="0.35"/>
    <row r="35" spans="2:27" ht="38.1" customHeight="1" thickBot="1" x14ac:dyDescent="0.35">
      <c r="B35" s="1075" t="s">
        <v>39</v>
      </c>
      <c r="C35" s="1076"/>
      <c r="D35" s="1076"/>
      <c r="E35" s="1076"/>
      <c r="F35" s="1076"/>
      <c r="G35" s="1076"/>
      <c r="H35" s="1076"/>
      <c r="I35" s="1076"/>
      <c r="J35" s="1076"/>
      <c r="K35" s="1077" t="s">
        <v>40</v>
      </c>
      <c r="L35" s="1077"/>
      <c r="M35" s="1003"/>
      <c r="N35" s="1003"/>
      <c r="O35" s="1002" t="s">
        <v>41</v>
      </c>
      <c r="P35" s="1002"/>
      <c r="Q35" s="1006"/>
      <c r="R35" s="1006"/>
      <c r="S35" s="657" t="s">
        <v>42</v>
      </c>
      <c r="T35" s="658"/>
      <c r="U35" s="1002" t="s">
        <v>43</v>
      </c>
      <c r="V35" s="1002"/>
      <c r="W35" s="1048">
        <f>M35+Q35+T35</f>
        <v>0</v>
      </c>
      <c r="X35" s="1048"/>
      <c r="Y35" s="1048"/>
      <c r="Z35" s="1048"/>
      <c r="AA35" s="1049"/>
    </row>
    <row r="36" spans="2:27" ht="16.05" customHeight="1" thickBot="1" x14ac:dyDescent="0.35">
      <c r="I36" s="593"/>
      <c r="J36" s="593"/>
      <c r="S36" s="562">
        <f ca="1">SUMIF(S10:S31,"Yes",M11:N31)</f>
        <v>0</v>
      </c>
      <c r="T36" s="562"/>
    </row>
    <row r="37" spans="2:27" ht="15.6" customHeight="1" thickBot="1" x14ac:dyDescent="0.35">
      <c r="B37" s="1089" t="s">
        <v>44</v>
      </c>
      <c r="C37" s="1090"/>
      <c r="D37" s="1090"/>
      <c r="E37" s="1090"/>
      <c r="F37" s="1090"/>
      <c r="G37" s="1090"/>
      <c r="H37" s="1090"/>
      <c r="I37" s="1090"/>
      <c r="J37" s="1091"/>
      <c r="K37" s="583"/>
      <c r="L37" s="583"/>
      <c r="S37" s="592">
        <f ca="1">M32-S36</f>
        <v>0</v>
      </c>
      <c r="T37" s="592"/>
    </row>
    <row r="38" spans="2:27" ht="15.6" customHeight="1" thickBot="1" x14ac:dyDescent="0.35">
      <c r="B38" s="1080" t="s">
        <v>45</v>
      </c>
      <c r="C38" s="1081"/>
      <c r="D38" s="1081"/>
      <c r="E38" s="1081"/>
      <c r="F38" s="1081"/>
      <c r="G38" s="1081"/>
      <c r="H38" s="1081"/>
      <c r="I38" s="1081"/>
      <c r="J38" s="1082"/>
      <c r="K38" s="584"/>
      <c r="L38" s="584"/>
      <c r="R38" s="562"/>
      <c r="S38" s="594">
        <f>SUMIF(S10:S31,"No",M10:N31)</f>
        <v>0</v>
      </c>
      <c r="T38" s="562"/>
    </row>
    <row r="39" spans="2:27" ht="16.05" customHeight="1" x14ac:dyDescent="0.3">
      <c r="B39" s="1056" t="s">
        <v>46</v>
      </c>
      <c r="C39" s="1057"/>
      <c r="D39" s="1057"/>
      <c r="E39" s="1057"/>
      <c r="F39" s="1057"/>
      <c r="G39" s="1057"/>
      <c r="H39" s="1058"/>
      <c r="I39" s="1065">
        <f ca="1">K32-S36</f>
        <v>0</v>
      </c>
      <c r="J39" s="1066"/>
      <c r="K39" s="585"/>
      <c r="L39" s="585"/>
    </row>
    <row r="40" spans="2:27" x14ac:dyDescent="0.3">
      <c r="B40" s="1059" t="s">
        <v>47</v>
      </c>
      <c r="C40" s="1060"/>
      <c r="D40" s="1060"/>
      <c r="E40" s="1060"/>
      <c r="F40" s="1060"/>
      <c r="G40" s="1060"/>
      <c r="H40" s="1061"/>
      <c r="I40" s="1067">
        <f>M32</f>
        <v>0</v>
      </c>
      <c r="J40" s="1068"/>
      <c r="K40" s="585"/>
      <c r="L40" s="585"/>
    </row>
    <row r="41" spans="2:27" ht="16.05" customHeight="1" x14ac:dyDescent="0.3">
      <c r="B41" s="1059" t="s">
        <v>48</v>
      </c>
      <c r="C41" s="1060"/>
      <c r="D41" s="1060"/>
      <c r="E41" s="1060"/>
      <c r="F41" s="1060"/>
      <c r="G41" s="1060"/>
      <c r="H41" s="1061"/>
      <c r="I41" s="1069" t="str">
        <f ca="1">IF(OR(M32=0,I39=0),"0.00",(M32/I39))</f>
        <v>0.00</v>
      </c>
      <c r="J41" s="1070"/>
      <c r="K41" s="586"/>
      <c r="L41" s="586"/>
    </row>
    <row r="42" spans="2:27" ht="15.6" customHeight="1" x14ac:dyDescent="0.3">
      <c r="B42" s="1059" t="s">
        <v>49</v>
      </c>
      <c r="C42" s="1060"/>
      <c r="D42" s="1060"/>
      <c r="E42" s="1060"/>
      <c r="F42" s="1060"/>
      <c r="G42" s="1060"/>
      <c r="H42" s="1061"/>
      <c r="I42" s="1071">
        <f ca="1">SUMIF(O10:R31, "Retained",M10:N31)</f>
        <v>0</v>
      </c>
      <c r="J42" s="1072"/>
      <c r="K42" s="587"/>
      <c r="L42" s="587"/>
    </row>
    <row r="43" spans="2:27" x14ac:dyDescent="0.3">
      <c r="B43" s="1059" t="s">
        <v>50</v>
      </c>
      <c r="C43" s="1060"/>
      <c r="D43" s="1060"/>
      <c r="E43" s="1060"/>
      <c r="F43" s="1060"/>
      <c r="G43" s="1060"/>
      <c r="H43" s="1061"/>
      <c r="I43" s="1071">
        <f ca="1">SUMIF(O10:R31,"Enhanced",M11:N31)</f>
        <v>0</v>
      </c>
      <c r="J43" s="1072"/>
      <c r="K43" s="587"/>
      <c r="L43" s="587"/>
    </row>
    <row r="44" spans="2:27" ht="16.05" customHeight="1" thickBot="1" x14ac:dyDescent="0.35">
      <c r="B44" s="1062" t="s">
        <v>51</v>
      </c>
      <c r="C44" s="1063"/>
      <c r="D44" s="1063"/>
      <c r="E44" s="1063"/>
      <c r="F44" s="1063"/>
      <c r="G44" s="1063"/>
      <c r="H44" s="1064"/>
      <c r="I44" s="1073">
        <f ca="1">SUMIF(O10:R31, "Lost",M10:N31)</f>
        <v>0</v>
      </c>
      <c r="J44" s="1074"/>
      <c r="K44" s="584"/>
      <c r="L44" s="584"/>
      <c r="O44" s="562" t="s">
        <v>52</v>
      </c>
    </row>
    <row r="45" spans="2:27" ht="16.05" customHeight="1" thickBot="1" x14ac:dyDescent="0.35">
      <c r="B45" s="1080" t="s">
        <v>53</v>
      </c>
      <c r="C45" s="1081"/>
      <c r="D45" s="1081"/>
      <c r="E45" s="1081"/>
      <c r="F45" s="1081"/>
      <c r="G45" s="1081"/>
      <c r="H45" s="1081"/>
      <c r="I45" s="1081"/>
      <c r="J45" s="1082"/>
      <c r="K45" s="588"/>
      <c r="L45" s="588"/>
      <c r="O45" s="562" t="s">
        <v>54</v>
      </c>
    </row>
    <row r="46" spans="2:27" ht="15.6" customHeight="1" x14ac:dyDescent="0.3">
      <c r="B46" s="1056" t="s">
        <v>55</v>
      </c>
      <c r="C46" s="1057"/>
      <c r="D46" s="1057"/>
      <c r="E46" s="1057"/>
      <c r="F46" s="1057"/>
      <c r="G46" s="1057"/>
      <c r="H46" s="1058"/>
      <c r="I46" s="1083">
        <f ca="1">SUMIF(B10:D31, "=Hedgerows",K10:L31)</f>
        <v>0</v>
      </c>
      <c r="J46" s="1084"/>
      <c r="K46" s="588"/>
      <c r="L46" s="588"/>
    </row>
    <row r="47" spans="2:27" x14ac:dyDescent="0.3">
      <c r="B47" s="1059" t="s">
        <v>56</v>
      </c>
      <c r="C47" s="1060"/>
      <c r="D47" s="1060"/>
      <c r="E47" s="1060"/>
      <c r="F47" s="1060"/>
      <c r="G47" s="1060"/>
      <c r="H47" s="1061"/>
      <c r="I47" s="1085">
        <f>SUM(SUMIFS(K10:K31,B10:B31, ("=Hedgerows"),O10:O31, ("=Retained")))</f>
        <v>0</v>
      </c>
      <c r="J47" s="1086"/>
      <c r="K47" s="588"/>
      <c r="L47" s="588"/>
      <c r="O47" s="562" t="s">
        <v>53</v>
      </c>
    </row>
    <row r="48" spans="2:27" x14ac:dyDescent="0.3">
      <c r="B48" s="1059" t="s">
        <v>57</v>
      </c>
      <c r="C48" s="1060"/>
      <c r="D48" s="1060"/>
      <c r="E48" s="1060"/>
      <c r="F48" s="1060"/>
      <c r="G48" s="1060"/>
      <c r="H48" s="1061"/>
      <c r="I48" s="1085">
        <f>SUM(SUMIFS(K10:K31,B10:B31, ("=Hedgerows"),O10:O31, ("=Enhanced")))</f>
        <v>0</v>
      </c>
      <c r="J48" s="1086"/>
      <c r="K48" s="584"/>
      <c r="L48" s="584"/>
      <c r="O48" s="562" t="s">
        <v>52</v>
      </c>
    </row>
    <row r="49" spans="2:12" ht="16.05" customHeight="1" thickBot="1" x14ac:dyDescent="0.35">
      <c r="B49" s="1062" t="s">
        <v>58</v>
      </c>
      <c r="C49" s="1063"/>
      <c r="D49" s="1063"/>
      <c r="E49" s="1063"/>
      <c r="F49" s="1063"/>
      <c r="G49" s="1063"/>
      <c r="H49" s="1064"/>
      <c r="I49" s="1087">
        <f>SUM(SUMIFS(K10:K31,B10:B31, ("=Hedgerows"),O10:O31, ("=Lost")))</f>
        <v>0</v>
      </c>
      <c r="J49" s="1088"/>
      <c r="K49" s="585"/>
      <c r="L49" s="585"/>
    </row>
    <row r="50" spans="2:12" ht="16.2" thickBot="1" x14ac:dyDescent="0.35">
      <c r="B50" s="671" t="s">
        <v>59</v>
      </c>
      <c r="C50" s="672"/>
      <c r="D50" s="672"/>
      <c r="E50" s="672"/>
      <c r="F50" s="672"/>
      <c r="G50" s="672"/>
      <c r="H50" s="672"/>
      <c r="I50" s="672"/>
      <c r="J50" s="673"/>
      <c r="K50" s="589"/>
      <c r="L50" s="589"/>
    </row>
    <row r="51" spans="2:12" ht="15.6" customHeight="1" x14ac:dyDescent="0.3">
      <c r="B51" s="1056" t="s">
        <v>1677</v>
      </c>
      <c r="C51" s="1057"/>
      <c r="D51" s="1057"/>
      <c r="E51" s="1057"/>
      <c r="F51" s="1057"/>
      <c r="G51" s="1057"/>
      <c r="H51" s="1058"/>
      <c r="I51" s="1065">
        <f ca="1">SUMIF(B10:D31, "=Watercourse",K10:L31)</f>
        <v>0</v>
      </c>
      <c r="J51" s="1066"/>
      <c r="K51" s="589"/>
      <c r="L51" s="589"/>
    </row>
    <row r="52" spans="2:12" x14ac:dyDescent="0.3">
      <c r="B52" s="1059" t="s">
        <v>60</v>
      </c>
      <c r="C52" s="1060"/>
      <c r="D52" s="1060"/>
      <c r="E52" s="1060"/>
      <c r="F52" s="1060"/>
      <c r="G52" s="1060"/>
      <c r="H52" s="1061"/>
      <c r="I52" s="1067">
        <f>SUMIFS(K10:K32,B10:B32, "=Watercourse", O10:O32, "=Retained")</f>
        <v>0</v>
      </c>
      <c r="J52" s="1068"/>
    </row>
    <row r="53" spans="2:12" x14ac:dyDescent="0.3">
      <c r="B53" s="1059" t="s">
        <v>1678</v>
      </c>
      <c r="C53" s="1060"/>
      <c r="D53" s="1060"/>
      <c r="E53" s="1060"/>
      <c r="F53" s="1060"/>
      <c r="G53" s="1060"/>
      <c r="H53" s="1061"/>
      <c r="I53" s="1067">
        <f>SUMIFS(K10:K31,B10:B31, "=Watercourse", O10:O31, "=Enhanced")</f>
        <v>0</v>
      </c>
      <c r="J53" s="1068"/>
    </row>
    <row r="54" spans="2:12" ht="16.05" customHeight="1" thickBot="1" x14ac:dyDescent="0.35">
      <c r="B54" s="1062" t="s">
        <v>61</v>
      </c>
      <c r="C54" s="1063"/>
      <c r="D54" s="1063"/>
      <c r="E54" s="1063"/>
      <c r="F54" s="1063"/>
      <c r="G54" s="1063"/>
      <c r="H54" s="1064"/>
      <c r="I54" s="1078">
        <f>SUM(SUMIFS(K10:K31,B10:B31, ("=Watercourse"),O10:O31, ("=Lost")))</f>
        <v>0</v>
      </c>
      <c r="J54" s="1079"/>
    </row>
    <row r="61" spans="2:12" ht="15" hidden="1" customHeight="1" x14ac:dyDescent="0.3"/>
    <row r="62" spans="2:12" hidden="1" x14ac:dyDescent="0.3"/>
    <row r="63" spans="2:12" hidden="1" x14ac:dyDescent="0.3"/>
    <row r="64" spans="2:12"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sheetData>
  <sheetProtection algorithmName="SHA-512" hashValue="YMkXk1eXpkaAdBD/7T6eccjk3oWF7nLiSrVDFuSmShDQKawEFP1qGDjKOCG/8JpBK11y/k9MUoBOIStqXAFIJw==" saltValue="yheT5PdqJxW0867KK5WsVQ==" spinCount="100000" sheet="1" objects="1" scenarios="1"/>
  <mergeCells count="231">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 ref="B39:H39"/>
    <mergeCell ref="B40:H40"/>
    <mergeCell ref="B41:H41"/>
    <mergeCell ref="B42:H42"/>
    <mergeCell ref="B43:H43"/>
    <mergeCell ref="B44:H44"/>
    <mergeCell ref="I39:J39"/>
    <mergeCell ref="I40:J40"/>
    <mergeCell ref="I41:J41"/>
    <mergeCell ref="I42:J42"/>
    <mergeCell ref="I43:J43"/>
    <mergeCell ref="I44:J44"/>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s>
  <conditionalFormatting sqref="B10:D31">
    <cfRule type="containsText" dxfId="951" priority="9" operator="containsText" text="Area">
      <formula>NOT(ISERROR(SEARCH("Area",B10)))</formula>
    </cfRule>
    <cfRule type="containsText" dxfId="950" priority="10" operator="containsText" text="Watercourses">
      <formula>NOT(ISERROR(SEARCH("Watercourses",B10)))</formula>
    </cfRule>
    <cfRule type="containsText" dxfId="949" priority="11" operator="containsText" text="Hedgerows">
      <formula>NOT(ISERROR(SEARCH("Hedgerows",B10)))</formula>
    </cfRule>
  </conditionalFormatting>
  <conditionalFormatting sqref="M11:N31 M10">
    <cfRule type="expression" dxfId="948" priority="7">
      <formula>B10="Hedgerows"</formula>
    </cfRule>
    <cfRule type="expression" dxfId="947" priority="8">
      <formula>B10="Watercourses"</formula>
    </cfRule>
  </conditionalFormatting>
  <conditionalFormatting sqref="B10:D31">
    <cfRule type="containsBlanks" priority="6">
      <formula>LEN(TRIM(B10))=0</formula>
    </cfRule>
  </conditionalFormatting>
  <conditionalFormatting sqref="K10:L31">
    <cfRule type="expression" dxfId="946" priority="4">
      <formula>B10="Area habitats"</formula>
    </cfRule>
  </conditionalFormatting>
  <conditionalFormatting sqref="AB10:AB31">
    <cfRule type="containsText" dxfId="945" priority="2" operator="containsText" text="Please">
      <formula>NOT(ISERROR(SEARCH("Please",AB10)))</formula>
    </cfRule>
  </conditionalFormatting>
  <conditionalFormatting sqref="AA10:AA31">
    <cfRule type="containsText" dxfId="944" priority="1" operator="containsText" text="▲">
      <formula>NOT(ISERROR(SEARCH("▲",AA10)))</formula>
    </cfRule>
  </conditionalFormatting>
  <dataValidations count="3">
    <dataValidation type="list" allowBlank="1" showInputMessage="1" showErrorMessage="1" sqref="B10:B31" xr:uid="{406126AE-66F3-41AF-A5D5-D80ED7A80D47}">
      <formula1>"Area habitats, Hedgerows, Watercourses"</formula1>
    </dataValidation>
    <dataValidation type="list" allowBlank="1" showInputMessage="1" showErrorMessage="1" sqref="Z10:Z31 S10:T31" xr:uid="{64261E4B-5BC4-455B-B6AA-A1AC75388BF5}">
      <formula1>"Yes, No"</formula1>
    </dataValidation>
    <dataValidation type="list" allowBlank="1" showInputMessage="1" showErrorMessage="1" sqref="O10:R31" xr:uid="{4F22612B-BB45-4066-BAA2-E770F2BC3C52}">
      <formula1>"Retained, Enhanced, Lost"</formula1>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tabColor theme="0" tint="-0.249977111117893"/>
  </sheetPr>
  <dimension ref="A1:R52"/>
  <sheetViews>
    <sheetView showGridLines="0" showRowColHeaders="0" topLeftCell="A7" zoomScale="80" zoomScaleNormal="80" workbookViewId="0"/>
  </sheetViews>
  <sheetFormatPr defaultColWidth="9.21875" defaultRowHeight="14.55" customHeight="1" zeroHeight="1" x14ac:dyDescent="0.3"/>
  <cols>
    <col min="1" max="3" width="2.21875" style="9" customWidth="1"/>
    <col min="4" max="4" width="18.77734375" style="9" customWidth="1"/>
    <col min="5" max="8" width="9.21875" style="9" customWidth="1"/>
    <col min="9" max="9" width="7" style="9" customWidth="1"/>
    <col min="10" max="12" width="9.21875" style="9" customWidth="1"/>
    <col min="13" max="13" width="12.21875" style="9" customWidth="1"/>
    <col min="14" max="14" width="5.77734375" style="9" customWidth="1"/>
    <col min="15" max="15" width="9.21875" style="9" customWidth="1"/>
    <col min="16" max="16" width="34.5546875" style="9" customWidth="1"/>
    <col min="17" max="17" width="13.77734375" style="9" bestFit="1" customWidth="1"/>
    <col min="18" max="18" width="19.21875" style="9" customWidth="1"/>
    <col min="19" max="20" width="9.21875" style="9" customWidth="1"/>
    <col min="21" max="16384" width="9.21875" style="9"/>
  </cols>
  <sheetData>
    <row r="1" spans="1:18" ht="15.75" customHeight="1" x14ac:dyDescent="0.6">
      <c r="B1" s="16"/>
      <c r="C1" s="16"/>
      <c r="E1" s="17"/>
      <c r="F1" s="981"/>
      <c r="G1" s="981"/>
      <c r="H1" s="981"/>
      <c r="I1" s="981"/>
      <c r="J1" s="981"/>
      <c r="K1" s="982"/>
      <c r="L1" s="982"/>
      <c r="M1" s="982"/>
      <c r="N1" s="982"/>
      <c r="O1" s="982"/>
    </row>
    <row r="2" spans="1:18" ht="15.75" customHeight="1" x14ac:dyDescent="0.6">
      <c r="B2" s="16"/>
      <c r="C2" s="16"/>
      <c r="E2" s="17"/>
    </row>
    <row r="3" spans="1:18" ht="15.75" customHeight="1" x14ac:dyDescent="0.6">
      <c r="A3" s="17"/>
      <c r="B3" s="17"/>
      <c r="C3" s="17"/>
      <c r="D3" s="17"/>
      <c r="E3" s="17"/>
      <c r="F3" s="18"/>
      <c r="G3" s="18"/>
      <c r="H3" s="18"/>
      <c r="I3" s="18"/>
      <c r="J3" s="18"/>
      <c r="K3" s="18"/>
      <c r="L3" s="18"/>
      <c r="M3" s="18"/>
      <c r="N3" s="18"/>
      <c r="O3" s="18"/>
      <c r="P3" s="18"/>
    </row>
    <row r="4" spans="1:18" ht="16.5" customHeight="1" x14ac:dyDescent="0.6">
      <c r="A4" s="17"/>
      <c r="B4" s="17"/>
      <c r="C4" s="17"/>
      <c r="D4" s="17"/>
      <c r="E4" s="17"/>
      <c r="F4" s="18"/>
      <c r="G4" s="18"/>
      <c r="H4" s="18"/>
      <c r="I4" s="18"/>
      <c r="J4" s="18"/>
      <c r="K4" s="18"/>
      <c r="L4" s="18"/>
      <c r="M4" s="18"/>
      <c r="N4" s="18"/>
      <c r="O4" s="18"/>
      <c r="P4" s="18"/>
    </row>
    <row r="5" spans="1:18" ht="16.5" customHeight="1" x14ac:dyDescent="0.6">
      <c r="A5" s="17"/>
      <c r="B5" s="17"/>
      <c r="C5" s="17"/>
      <c r="D5" s="17"/>
      <c r="E5" s="17"/>
      <c r="F5" s="19"/>
      <c r="G5" s="19"/>
      <c r="H5" s="19"/>
      <c r="I5" s="19"/>
      <c r="J5" s="19"/>
      <c r="K5" s="19"/>
      <c r="L5" s="19"/>
      <c r="M5" s="19"/>
      <c r="N5" s="19"/>
      <c r="O5" s="19"/>
      <c r="P5" s="19"/>
      <c r="Q5" s="19"/>
      <c r="R5" s="19"/>
    </row>
    <row r="6" spans="1:18" ht="16.5" customHeight="1" x14ac:dyDescent="0.6">
      <c r="B6" s="16"/>
      <c r="C6" s="16"/>
      <c r="D6" s="17"/>
      <c r="E6" s="17"/>
      <c r="F6" s="19"/>
      <c r="G6" s="19"/>
      <c r="H6" s="19"/>
      <c r="I6" s="19"/>
      <c r="J6" s="19"/>
      <c r="K6" s="19"/>
      <c r="L6" s="19"/>
      <c r="M6" s="19"/>
      <c r="N6" s="19"/>
      <c r="O6" s="19"/>
      <c r="P6" s="19"/>
      <c r="Q6" s="19"/>
      <c r="R6" s="19"/>
    </row>
    <row r="7" spans="1:18" ht="16.5" customHeight="1" x14ac:dyDescent="0.6">
      <c r="B7" s="16"/>
      <c r="C7" s="17"/>
      <c r="D7" s="17"/>
      <c r="E7" s="17"/>
      <c r="F7" s="19"/>
      <c r="G7" s="19"/>
      <c r="H7" s="19"/>
      <c r="I7" s="19"/>
      <c r="J7" s="19"/>
      <c r="K7" s="19"/>
      <c r="L7" s="19"/>
      <c r="M7" s="19"/>
      <c r="N7" s="19"/>
      <c r="O7" s="19"/>
      <c r="P7" s="19"/>
      <c r="Q7" s="19"/>
      <c r="R7" s="19"/>
    </row>
    <row r="8" spans="1:18" ht="16.5" customHeight="1" x14ac:dyDescent="0.6">
      <c r="B8" s="16"/>
      <c r="C8" s="16"/>
      <c r="D8" s="17"/>
      <c r="E8" s="17"/>
      <c r="F8" s="19"/>
      <c r="G8" s="19"/>
      <c r="H8" s="19"/>
      <c r="I8" s="19"/>
      <c r="J8" s="19"/>
      <c r="K8" s="19"/>
      <c r="L8" s="19"/>
      <c r="M8" s="19"/>
      <c r="N8" s="19"/>
      <c r="O8" s="19"/>
      <c r="P8" s="19"/>
      <c r="Q8" s="19"/>
      <c r="R8" s="19"/>
    </row>
    <row r="9" spans="1:18" ht="16.5" customHeight="1" x14ac:dyDescent="0.3">
      <c r="B9" s="16"/>
      <c r="C9" s="16"/>
      <c r="D9" s="20"/>
      <c r="E9" s="20"/>
      <c r="F9" s="19"/>
      <c r="G9" s="19"/>
      <c r="H9" s="19"/>
      <c r="I9" s="19"/>
      <c r="J9" s="19"/>
      <c r="K9" s="19"/>
      <c r="L9" s="19"/>
      <c r="M9" s="19"/>
      <c r="N9" s="19"/>
      <c r="O9" s="19"/>
      <c r="P9" s="19"/>
      <c r="Q9" s="19"/>
      <c r="R9" s="19"/>
    </row>
    <row r="10" spans="1:18" ht="30" customHeight="1" x14ac:dyDescent="0.4">
      <c r="B10" s="16"/>
      <c r="C10" s="16"/>
      <c r="D10" s="1687"/>
      <c r="E10" s="1687"/>
      <c r="F10" s="1687"/>
      <c r="G10" s="1687"/>
      <c r="H10" s="1687"/>
      <c r="I10" s="1687"/>
      <c r="J10" s="1687"/>
      <c r="K10" s="1687"/>
      <c r="L10" s="1687"/>
      <c r="M10" s="1687"/>
    </row>
    <row r="11" spans="1:18" ht="16.5" customHeight="1" x14ac:dyDescent="0.3">
      <c r="B11" s="16"/>
      <c r="C11" s="16"/>
    </row>
    <row r="12" spans="1:18" ht="16.5" customHeight="1" x14ac:dyDescent="0.3">
      <c r="B12" s="16"/>
      <c r="C12" s="16"/>
    </row>
    <row r="13" spans="1:18" ht="16.5" customHeight="1" x14ac:dyDescent="0.3">
      <c r="B13" s="16"/>
      <c r="C13" s="16"/>
    </row>
    <row r="14" spans="1:18" ht="16.5" customHeight="1" x14ac:dyDescent="0.3">
      <c r="B14" s="16"/>
      <c r="C14" s="16"/>
    </row>
    <row r="15" spans="1:18" ht="16.5" customHeight="1" x14ac:dyDescent="0.3">
      <c r="B15" s="16"/>
      <c r="C15" s="16"/>
    </row>
    <row r="16" spans="1:18" ht="16.5" customHeight="1" x14ac:dyDescent="0.3"/>
    <row r="17" ht="16.5" customHeight="1" x14ac:dyDescent="0.3"/>
    <row r="18" ht="16.5" customHeight="1" x14ac:dyDescent="0.3"/>
    <row r="19" ht="16.5" customHeight="1" x14ac:dyDescent="0.3"/>
    <row r="20" ht="16.5" customHeight="1" x14ac:dyDescent="0.3"/>
    <row r="21" ht="16.5" customHeight="1" x14ac:dyDescent="0.3"/>
    <row r="22" ht="16.5" customHeight="1" x14ac:dyDescent="0.3"/>
    <row r="23" ht="16.5" customHeight="1" x14ac:dyDescent="0.3"/>
    <row r="24" ht="16.5" customHeight="1" x14ac:dyDescent="0.3"/>
    <row r="25" ht="16.5" customHeight="1" x14ac:dyDescent="0.3"/>
    <row r="26" ht="16.5" customHeight="1" x14ac:dyDescent="0.3"/>
    <row r="27" ht="14.4" x14ac:dyDescent="0.3"/>
    <row r="28" ht="14.4" x14ac:dyDescent="0.3"/>
    <row r="29" ht="14.4" x14ac:dyDescent="0.3"/>
    <row r="30" ht="14.4" x14ac:dyDescent="0.3"/>
    <row r="31" ht="14.4" x14ac:dyDescent="0.3"/>
    <row r="32"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4.4" x14ac:dyDescent="0.3"/>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
    <tabColor theme="0" tint="-0.249977111117893"/>
  </sheetPr>
  <dimension ref="A1:D378"/>
  <sheetViews>
    <sheetView showGridLines="0" zoomScale="80" zoomScaleNormal="80" workbookViewId="0"/>
  </sheetViews>
  <sheetFormatPr defaultColWidth="9.21875" defaultRowHeight="14.4" x14ac:dyDescent="0.3"/>
  <cols>
    <col min="1" max="1" width="41.21875" style="220" customWidth="1"/>
    <col min="2" max="2" width="56.44140625" style="220" bestFit="1" customWidth="1"/>
    <col min="3" max="3" width="9.21875" style="220"/>
    <col min="4" max="4" width="55.5546875" style="220" customWidth="1"/>
    <col min="5" max="16384" width="9.21875" style="220"/>
  </cols>
  <sheetData>
    <row r="1" spans="1:4" s="221" customFormat="1" x14ac:dyDescent="0.3">
      <c r="A1" s="252" t="s">
        <v>1278</v>
      </c>
      <c r="B1" s="253" t="s">
        <v>1279</v>
      </c>
      <c r="D1" s="225" t="s">
        <v>1280</v>
      </c>
    </row>
    <row r="2" spans="1:4" x14ac:dyDescent="0.3">
      <c r="A2" s="496" t="s">
        <v>1281</v>
      </c>
      <c r="B2" s="497" t="s">
        <v>1282</v>
      </c>
      <c r="D2" s="496" t="str">
        <f>'G-1 All Habitats'!B3</f>
        <v>Cropland - Arable field margins cultivated annually</v>
      </c>
    </row>
    <row r="3" spans="1:4" x14ac:dyDescent="0.3">
      <c r="A3" s="496" t="s">
        <v>1283</v>
      </c>
      <c r="B3" s="497" t="s">
        <v>1284</v>
      </c>
      <c r="D3" s="496" t="str">
        <f>'G-1 All Habitats'!B4</f>
        <v>Cropland - Arable field margins game bird mix</v>
      </c>
    </row>
    <row r="4" spans="1:4" x14ac:dyDescent="0.3">
      <c r="A4" s="496" t="s">
        <v>1285</v>
      </c>
      <c r="B4" s="497" t="s">
        <v>1286</v>
      </c>
      <c r="D4" s="496" t="str">
        <f>'G-1 All Habitats'!B5</f>
        <v>Cropland - Arable field margins pollen and nectar</v>
      </c>
    </row>
    <row r="5" spans="1:4" x14ac:dyDescent="0.3">
      <c r="A5" s="496" t="s">
        <v>1287</v>
      </c>
      <c r="B5" s="497" t="s">
        <v>1288</v>
      </c>
      <c r="D5" s="496" t="str">
        <f>'G-1 All Habitats'!B6</f>
        <v>Cropland - Arable field margins tussocky</v>
      </c>
    </row>
    <row r="6" spans="1:4" x14ac:dyDescent="0.3">
      <c r="A6" s="496" t="s">
        <v>1289</v>
      </c>
      <c r="B6" s="497" t="s">
        <v>1290</v>
      </c>
      <c r="D6" s="496" t="str">
        <f>'G-1 All Habitats'!B7</f>
        <v>Cropland - Cereal crops</v>
      </c>
    </row>
    <row r="7" spans="1:4" x14ac:dyDescent="0.3">
      <c r="A7" s="496" t="s">
        <v>1291</v>
      </c>
      <c r="B7" s="497" t="s">
        <v>1292</v>
      </c>
      <c r="D7" s="496" t="str">
        <f>'G-1 All Habitats'!B8</f>
        <v>Cropland - Winter stubble</v>
      </c>
    </row>
    <row r="8" spans="1:4" x14ac:dyDescent="0.3">
      <c r="A8" s="496" t="s">
        <v>1293</v>
      </c>
      <c r="B8" s="497" t="s">
        <v>1294</v>
      </c>
      <c r="D8" s="496" t="str">
        <f>'G-1 All Habitats'!B9</f>
        <v>Cropland - Horticulture</v>
      </c>
    </row>
    <row r="9" spans="1:4" x14ac:dyDescent="0.3">
      <c r="A9" s="496" t="s">
        <v>1295</v>
      </c>
      <c r="B9" s="497" t="s">
        <v>1296</v>
      </c>
      <c r="D9" s="496" t="str">
        <f>'G-1 All Habitats'!B10</f>
        <v>Cropland - Intensive orchards</v>
      </c>
    </row>
    <row r="10" spans="1:4" x14ac:dyDescent="0.3">
      <c r="A10" s="496" t="s">
        <v>1297</v>
      </c>
      <c r="B10" s="497" t="s">
        <v>1298</v>
      </c>
      <c r="D10" s="496" t="str">
        <f>'G-1 All Habitats'!B11</f>
        <v>Cropland - Non-cereal crops</v>
      </c>
    </row>
    <row r="11" spans="1:4" x14ac:dyDescent="0.3">
      <c r="A11" s="496" t="s">
        <v>1299</v>
      </c>
      <c r="B11" s="497" t="s">
        <v>1300</v>
      </c>
      <c r="D11" s="496" t="str">
        <f>'G-1 All Habitats'!B12</f>
        <v>Cropland - Temporary grass and clover leys</v>
      </c>
    </row>
    <row r="12" spans="1:4" x14ac:dyDescent="0.3">
      <c r="A12" s="496" t="s">
        <v>1301</v>
      </c>
      <c r="B12" s="497" t="s">
        <v>1302</v>
      </c>
      <c r="D12" s="496" t="str">
        <f>'G-1 All Habitats'!B13</f>
        <v>Grassland - Traditional orchards</v>
      </c>
    </row>
    <row r="13" spans="1:4" x14ac:dyDescent="0.3">
      <c r="A13" s="496" t="s">
        <v>1303</v>
      </c>
      <c r="B13" s="497" t="s">
        <v>1304</v>
      </c>
      <c r="D13" s="496" t="str">
        <f>'G-1 All Habitats'!B14</f>
        <v>Grassland - Bracken</v>
      </c>
    </row>
    <row r="14" spans="1:4" x14ac:dyDescent="0.3">
      <c r="A14" s="496" t="s">
        <v>1305</v>
      </c>
      <c r="B14" s="497" t="s">
        <v>1306</v>
      </c>
      <c r="D14" s="496" t="str">
        <f>'G-1 All Habitats'!B15</f>
        <v>Grassland - Floodplain wetland mosaic and CFGM</v>
      </c>
    </row>
    <row r="15" spans="1:4" x14ac:dyDescent="0.3">
      <c r="A15" s="496" t="s">
        <v>1307</v>
      </c>
      <c r="B15" s="497" t="s">
        <v>1308</v>
      </c>
      <c r="D15" s="496" t="str">
        <f>'G-1 All Habitats'!B16</f>
        <v>Grassland - Lowland calcareous grassland</v>
      </c>
    </row>
    <row r="16" spans="1:4" x14ac:dyDescent="0.3">
      <c r="A16" s="496" t="s">
        <v>1309</v>
      </c>
      <c r="B16" s="497" t="s">
        <v>1310</v>
      </c>
      <c r="D16" s="496" t="str">
        <f>'G-1 All Habitats'!B17</f>
        <v>Grassland - Lowland dry acid grassland</v>
      </c>
    </row>
    <row r="17" spans="1:4" x14ac:dyDescent="0.3">
      <c r="A17" s="496" t="s">
        <v>1311</v>
      </c>
      <c r="D17" s="496" t="str">
        <f>'G-1 All Habitats'!B18</f>
        <v>Grassland - Lowland meadows</v>
      </c>
    </row>
    <row r="18" spans="1:4" x14ac:dyDescent="0.3">
      <c r="A18" s="496" t="s">
        <v>1312</v>
      </c>
      <c r="D18" s="496" t="str">
        <f>'G-1 All Habitats'!B19</f>
        <v>Grassland - Modified grassland</v>
      </c>
    </row>
    <row r="19" spans="1:4" x14ac:dyDescent="0.3">
      <c r="A19" s="496" t="s">
        <v>1313</v>
      </c>
      <c r="D19" s="496" t="str">
        <f>'G-1 All Habitats'!B20</f>
        <v>Grassland - Other lowland acid grassland</v>
      </c>
    </row>
    <row r="20" spans="1:4" x14ac:dyDescent="0.3">
      <c r="A20" s="496" t="s">
        <v>1314</v>
      </c>
      <c r="D20" s="496" t="str">
        <f>'G-1 All Habitats'!B21</f>
        <v>Grassland - Other neutral grassland</v>
      </c>
    </row>
    <row r="21" spans="1:4" x14ac:dyDescent="0.3">
      <c r="A21" s="496" t="s">
        <v>1315</v>
      </c>
      <c r="D21" s="496" t="str">
        <f>'G-1 All Habitats'!B22</f>
        <v>Grassland - Tall herb communities (H6430)</v>
      </c>
    </row>
    <row r="22" spans="1:4" x14ac:dyDescent="0.3">
      <c r="A22" s="496" t="s">
        <v>1316</v>
      </c>
      <c r="D22" s="496" t="str">
        <f>'G-1 All Habitats'!B23</f>
        <v>Grassland - Upland acid grassland</v>
      </c>
    </row>
    <row r="23" spans="1:4" x14ac:dyDescent="0.3">
      <c r="A23" s="496" t="s">
        <v>1317</v>
      </c>
      <c r="D23" s="496" t="str">
        <f>'G-1 All Habitats'!B24</f>
        <v>Grassland - Upland calcareous grassland</v>
      </c>
    </row>
    <row r="24" spans="1:4" x14ac:dyDescent="0.3">
      <c r="A24" s="496" t="s">
        <v>1318</v>
      </c>
      <c r="D24" s="496" t="str">
        <f>'G-1 All Habitats'!B25</f>
        <v>Grassland - Upland hay meadows</v>
      </c>
    </row>
    <row r="25" spans="1:4" x14ac:dyDescent="0.3">
      <c r="A25" s="496" t="s">
        <v>1319</v>
      </c>
      <c r="D25" s="496" t="str">
        <f>'G-1 All Habitats'!B26</f>
        <v>Heathland and shrub - Blackthorn scrub</v>
      </c>
    </row>
    <row r="26" spans="1:4" x14ac:dyDescent="0.3">
      <c r="A26" s="496" t="s">
        <v>1320</v>
      </c>
      <c r="D26" s="496" t="str">
        <f>'G-1 All Habitats'!B27</f>
        <v>Heathland and shrub - Bramble scrub</v>
      </c>
    </row>
    <row r="27" spans="1:4" x14ac:dyDescent="0.3">
      <c r="A27" s="496" t="s">
        <v>1321</v>
      </c>
      <c r="D27" s="496" t="str">
        <f>'G-1 All Habitats'!B28</f>
        <v>Heathland and shrub - Gorse scrub</v>
      </c>
    </row>
    <row r="28" spans="1:4" x14ac:dyDescent="0.3">
      <c r="A28" s="496" t="s">
        <v>1322</v>
      </c>
      <c r="D28" s="496" t="str">
        <f>'G-1 All Habitats'!B29</f>
        <v>Heathland and shrub - Hawthorn scrub</v>
      </c>
    </row>
    <row r="29" spans="1:4" x14ac:dyDescent="0.3">
      <c r="A29" s="496" t="s">
        <v>1323</v>
      </c>
      <c r="D29" s="496" t="str">
        <f>'G-1 All Habitats'!B30</f>
        <v>Heathland and shrub - Hazel scrub</v>
      </c>
    </row>
    <row r="30" spans="1:4" x14ac:dyDescent="0.3">
      <c r="A30" s="496" t="s">
        <v>1324</v>
      </c>
      <c r="D30" s="496" t="str">
        <f>'G-1 All Habitats'!B31</f>
        <v>Heathland and shrub - Lowland heathland</v>
      </c>
    </row>
    <row r="31" spans="1:4" x14ac:dyDescent="0.3">
      <c r="A31" s="496" t="s">
        <v>1325</v>
      </c>
      <c r="D31" s="496" t="str">
        <f>'G-1 All Habitats'!B32</f>
        <v>Heathland and shrub - Mixed scrub</v>
      </c>
    </row>
    <row r="32" spans="1:4" x14ac:dyDescent="0.3">
      <c r="A32" s="496" t="s">
        <v>1326</v>
      </c>
      <c r="D32" s="496" t="str">
        <f>'G-1 All Habitats'!B33</f>
        <v>Heathland and shrub - Mountain heaths and willow scrub</v>
      </c>
    </row>
    <row r="33" spans="1:4" x14ac:dyDescent="0.3">
      <c r="A33" s="496" t="s">
        <v>1327</v>
      </c>
      <c r="D33" s="496" t="str">
        <f>'G-1 All Habitats'!B34</f>
        <v>Heathland and shrub - Rhododendron scrub</v>
      </c>
    </row>
    <row r="34" spans="1:4" x14ac:dyDescent="0.3">
      <c r="A34" s="496" t="s">
        <v>1328</v>
      </c>
      <c r="D34" s="496" t="str">
        <f>'G-1 All Habitats'!B35</f>
        <v>Heathland and shrub - Dunes with sea buckthorn (H2160)</v>
      </c>
    </row>
    <row r="35" spans="1:4" x14ac:dyDescent="0.3">
      <c r="A35" s="496" t="s">
        <v>1329</v>
      </c>
      <c r="D35" s="496" t="str">
        <f>'G-1 All Habitats'!B36</f>
        <v>Heathland and shrub - Other sea buckthorn scrub</v>
      </c>
    </row>
    <row r="36" spans="1:4" x14ac:dyDescent="0.3">
      <c r="A36" s="496" t="s">
        <v>1330</v>
      </c>
      <c r="D36" s="496" t="str">
        <f>'G-1 All Habitats'!B38</f>
        <v>Heathland and shrub - Upland heathland</v>
      </c>
    </row>
    <row r="37" spans="1:4" x14ac:dyDescent="0.3">
      <c r="A37" s="496" t="s">
        <v>1331</v>
      </c>
      <c r="D37" s="496" t="str">
        <f>'G-1 All Habitats'!B39</f>
        <v>Lakes - Aquifer fed naturally fluctuating water bodies</v>
      </c>
    </row>
    <row r="38" spans="1:4" x14ac:dyDescent="0.3">
      <c r="A38" s="496" t="s">
        <v>1332</v>
      </c>
      <c r="D38" s="496" t="str">
        <f>'G-1 All Habitats'!B41</f>
        <v>Lakes - High alkalinity lakes</v>
      </c>
    </row>
    <row r="39" spans="1:4" x14ac:dyDescent="0.3">
      <c r="A39" s="496" t="s">
        <v>1333</v>
      </c>
      <c r="D39" s="496" t="str">
        <f>'G-1 All Habitats'!B42</f>
        <v>Lakes - Low alkalinity lakes</v>
      </c>
    </row>
    <row r="40" spans="1:4" x14ac:dyDescent="0.3">
      <c r="A40" s="496" t="s">
        <v>1334</v>
      </c>
      <c r="D40" s="496" t="str">
        <f>'G-1 All Habitats'!B43</f>
        <v>Lakes - Marl lakes</v>
      </c>
    </row>
    <row r="41" spans="1:4" x14ac:dyDescent="0.3">
      <c r="A41" s="496" t="s">
        <v>1335</v>
      </c>
      <c r="D41" s="496" t="str">
        <f>'G-1 All Habitats'!B44</f>
        <v>Lakes - Moderate alkalinity lakes</v>
      </c>
    </row>
    <row r="42" spans="1:4" x14ac:dyDescent="0.3">
      <c r="A42" s="496" t="s">
        <v>1336</v>
      </c>
      <c r="D42" s="496" t="str">
        <f>'G-1 All Habitats'!B45</f>
        <v>Lakes - Peat lakes</v>
      </c>
    </row>
    <row r="43" spans="1:4" x14ac:dyDescent="0.3">
      <c r="A43" s="496" t="s">
        <v>1337</v>
      </c>
      <c r="D43" s="496" t="str">
        <f>'G-1 All Habitats'!B46</f>
        <v>Lakes - Ponds (priority habitat)</v>
      </c>
    </row>
    <row r="44" spans="1:4" x14ac:dyDescent="0.3">
      <c r="A44" s="496" t="s">
        <v>1338</v>
      </c>
      <c r="D44" s="496" t="str">
        <f>'G-1 All Habitats'!B47</f>
        <v>Lakes - Ponds (non-priority habitat)</v>
      </c>
    </row>
    <row r="45" spans="1:4" x14ac:dyDescent="0.3">
      <c r="A45" s="496" t="s">
        <v>1339</v>
      </c>
      <c r="D45" s="496" t="str">
        <f>'G-1 All Habitats'!B48</f>
        <v>Lakes - Reservoirs</v>
      </c>
    </row>
    <row r="46" spans="1:4" x14ac:dyDescent="0.3">
      <c r="A46" s="496" t="s">
        <v>1340</v>
      </c>
      <c r="D46" s="496" t="str">
        <f>'G-1 All Habitats'!B49</f>
        <v>Lakes - Temporary lakes ponds and pools (H3170)</v>
      </c>
    </row>
    <row r="47" spans="1:4" x14ac:dyDescent="0.3">
      <c r="A47" s="496" t="s">
        <v>1341</v>
      </c>
      <c r="D47" s="496" t="str">
        <f>'G-1 All Habitats'!B50</f>
        <v>Sparsely vegetated land - Calaminarian grasslands</v>
      </c>
    </row>
    <row r="48" spans="1:4" x14ac:dyDescent="0.3">
      <c r="A48" s="496" t="s">
        <v>1342</v>
      </c>
      <c r="D48" s="496" t="str">
        <f>'G-1 All Habitats'!B51</f>
        <v>Sparsely vegetated land - Coastal sand dunes</v>
      </c>
    </row>
    <row r="49" spans="1:4" x14ac:dyDescent="0.3">
      <c r="A49" s="496" t="s">
        <v>1343</v>
      </c>
      <c r="D49" s="496" t="str">
        <f>'G-1 All Habitats'!B52</f>
        <v>Sparsely vegetated land - Coastal vegetated shingle</v>
      </c>
    </row>
    <row r="50" spans="1:4" x14ac:dyDescent="0.3">
      <c r="A50" s="496" t="s">
        <v>1344</v>
      </c>
      <c r="D50" s="496" t="str">
        <f>'G-1 All Habitats'!B53</f>
        <v>Sparsely vegetated land - Ruderal/Ephemeral</v>
      </c>
    </row>
    <row r="51" spans="1:4" x14ac:dyDescent="0.3">
      <c r="A51" s="496" t="s">
        <v>1345</v>
      </c>
      <c r="D51" s="496" t="str">
        <f>'G-1 All Habitats'!B55</f>
        <v>Sparsely vegetated land - Inland rock outcrop and scree habitats</v>
      </c>
    </row>
    <row r="52" spans="1:4" x14ac:dyDescent="0.3">
      <c r="A52" s="496" t="s">
        <v>1346</v>
      </c>
      <c r="D52" s="496" t="str">
        <f>'G-1 All Habitats'!B56</f>
        <v>Sparsely vegetated land - Limestone pavement</v>
      </c>
    </row>
    <row r="53" spans="1:4" x14ac:dyDescent="0.3">
      <c r="A53" s="496" t="s">
        <v>1347</v>
      </c>
      <c r="D53" s="496" t="str">
        <f>'G-1 All Habitats'!B57</f>
        <v>Sparsely vegetated land - Maritime cliff and slopes</v>
      </c>
    </row>
    <row r="54" spans="1:4" x14ac:dyDescent="0.3">
      <c r="A54" s="496" t="s">
        <v>1348</v>
      </c>
      <c r="D54" s="496" t="str">
        <f>'G-1 All Habitats'!B58</f>
        <v>Sparsely vegetated land - Other inland rock and scree</v>
      </c>
    </row>
    <row r="55" spans="1:4" x14ac:dyDescent="0.3">
      <c r="A55" s="496" t="s">
        <v>1349</v>
      </c>
      <c r="D55" s="496" t="str">
        <f>'G-1 All Habitats'!B59</f>
        <v>Urban - Allotments</v>
      </c>
    </row>
    <row r="56" spans="1:4" x14ac:dyDescent="0.3">
      <c r="A56" s="496" t="s">
        <v>1350</v>
      </c>
      <c r="D56" s="496" t="str">
        <f>'G-1 All Habitats'!B40</f>
        <v>Lakes - Ornamental lake or pond</v>
      </c>
    </row>
    <row r="57" spans="1:4" x14ac:dyDescent="0.3">
      <c r="A57" s="496" t="s">
        <v>1351</v>
      </c>
      <c r="D57" s="496" t="str">
        <f>'G-1 All Habitats'!B60</f>
        <v>Urban - Artificial unvegetated, unsealed surface</v>
      </c>
    </row>
    <row r="58" spans="1:4" x14ac:dyDescent="0.3">
      <c r="A58" s="496" t="s">
        <v>1352</v>
      </c>
      <c r="D58" s="496" t="str">
        <f>'G-1 All Habitats'!B61</f>
        <v>Urban - Bioswale</v>
      </c>
    </row>
    <row r="59" spans="1:4" x14ac:dyDescent="0.3">
      <c r="A59" s="496" t="s">
        <v>1353</v>
      </c>
      <c r="D59" s="496" t="str">
        <f>'G-1 All Habitats'!B62</f>
        <v>Urban - Intensive green roof</v>
      </c>
    </row>
    <row r="60" spans="1:4" x14ac:dyDescent="0.3">
      <c r="A60" s="496" t="s">
        <v>1354</v>
      </c>
      <c r="D60" s="496" t="str">
        <f>'G-1 All Habitats'!B63</f>
        <v>Urban - Built linear features</v>
      </c>
    </row>
    <row r="61" spans="1:4" x14ac:dyDescent="0.3">
      <c r="A61" s="496" t="s">
        <v>1355</v>
      </c>
      <c r="D61" s="496" t="str">
        <f>'G-1 All Habitats'!B64</f>
        <v>Urban - Cemeteries and churchyards</v>
      </c>
    </row>
    <row r="62" spans="1:4" x14ac:dyDescent="0.3">
      <c r="A62" s="496" t="s">
        <v>1356</v>
      </c>
      <c r="D62" s="496" t="str">
        <f>'G-1 All Habitats'!B65</f>
        <v>Urban - Developed land; sealed surface</v>
      </c>
    </row>
    <row r="63" spans="1:4" x14ac:dyDescent="0.3">
      <c r="A63" s="496" t="s">
        <v>1357</v>
      </c>
      <c r="D63" s="496" t="str">
        <f>'G-1 All Habitats'!B66</f>
        <v>Urban - Other green roof</v>
      </c>
    </row>
    <row r="64" spans="1:4" x14ac:dyDescent="0.3">
      <c r="A64" s="496" t="s">
        <v>1358</v>
      </c>
      <c r="D64" s="496" t="str">
        <f>'G-1 All Habitats'!B67</f>
        <v>Urban - Facade-bound green wall</v>
      </c>
    </row>
    <row r="65" spans="1:4" x14ac:dyDescent="0.3">
      <c r="A65" s="496" t="s">
        <v>1359</v>
      </c>
      <c r="D65" s="496" t="str">
        <f>'G-1 All Habitats'!B68</f>
        <v>Urban - Ground based green wall</v>
      </c>
    </row>
    <row r="66" spans="1:4" x14ac:dyDescent="0.3">
      <c r="A66" s="496" t="s">
        <v>1360</v>
      </c>
      <c r="D66" s="496" t="str">
        <f>'G-1 All Habitats'!B69</f>
        <v>Urban - Ground level planters</v>
      </c>
    </row>
    <row r="67" spans="1:4" x14ac:dyDescent="0.3">
      <c r="A67" s="496" t="s">
        <v>1361</v>
      </c>
      <c r="D67" s="496" t="str">
        <f>'G-1 All Habitats'!B70</f>
        <v>Urban - Biodiverse green roof</v>
      </c>
    </row>
    <row r="68" spans="1:4" x14ac:dyDescent="0.3">
      <c r="A68" s="496" t="s">
        <v>1362</v>
      </c>
      <c r="D68" s="496" t="str">
        <f>'G-1 All Habitats'!B71</f>
        <v>Urban - Introduced shrub</v>
      </c>
    </row>
    <row r="69" spans="1:4" x14ac:dyDescent="0.3">
      <c r="A69" s="496" t="s">
        <v>1363</v>
      </c>
      <c r="D69" s="496" t="str">
        <f>'G-1 All Habitats'!B72</f>
        <v>Urban - Open mosaic habitats on previously developed land</v>
      </c>
    </row>
    <row r="70" spans="1:4" x14ac:dyDescent="0.3">
      <c r="A70" s="496" t="s">
        <v>1364</v>
      </c>
      <c r="D70" s="496" t="str">
        <f>'G-1 All Habitats'!B73</f>
        <v>Urban - Rain garden</v>
      </c>
    </row>
    <row r="71" spans="1:4" x14ac:dyDescent="0.3">
      <c r="A71" s="496" t="s">
        <v>1365</v>
      </c>
      <c r="D71" s="496" t="str">
        <f>'G-1 All Habitats'!B74</f>
        <v>Urban - Actively worked sand pit quarry or open cast mine</v>
      </c>
    </row>
    <row r="72" spans="1:4" x14ac:dyDescent="0.3">
      <c r="A72" s="496" t="s">
        <v>1366</v>
      </c>
      <c r="D72" s="496" t="str">
        <f>'G-1 All Habitats'!B80</f>
        <v>Individual trees - Urban tree</v>
      </c>
    </row>
    <row r="73" spans="1:4" x14ac:dyDescent="0.3">
      <c r="A73" s="496" t="s">
        <v>1367</v>
      </c>
      <c r="D73" s="496" t="str">
        <f>'G-1 All Habitats'!B75</f>
        <v>Urban - Sustainable drainage system</v>
      </c>
    </row>
    <row r="74" spans="1:4" x14ac:dyDescent="0.3">
      <c r="A74" s="496" t="s">
        <v>1368</v>
      </c>
      <c r="D74" s="496" t="str">
        <f>'G-1 All Habitats'!B76</f>
        <v>Urban - Unvegetated garden</v>
      </c>
    </row>
    <row r="75" spans="1:4" x14ac:dyDescent="0.3">
      <c r="A75" s="496" t="s">
        <v>1369</v>
      </c>
      <c r="D75" s="496" t="str">
        <f>'G-1 All Habitats'!B77</f>
        <v>Urban - Vacant or derelict land</v>
      </c>
    </row>
    <row r="76" spans="1:4" x14ac:dyDescent="0.3">
      <c r="A76" s="496" t="s">
        <v>1370</v>
      </c>
      <c r="D76" s="496" t="str">
        <f>'G-1 All Habitats'!B79</f>
        <v>Urban - Vegetated garden</v>
      </c>
    </row>
    <row r="77" spans="1:4" x14ac:dyDescent="0.3">
      <c r="A77" s="496" t="s">
        <v>1371</v>
      </c>
      <c r="D77" s="496" t="str">
        <f>'G-1 All Habitats'!B82</f>
        <v>Wetland - Blanket bog</v>
      </c>
    </row>
    <row r="78" spans="1:4" x14ac:dyDescent="0.3">
      <c r="A78" s="496" t="s">
        <v>1372</v>
      </c>
      <c r="D78" s="496" t="str">
        <f>'G-1 All Habitats'!B83</f>
        <v>Wetland - Depressions on peat substrates (H7150)</v>
      </c>
    </row>
    <row r="79" spans="1:4" x14ac:dyDescent="0.3">
      <c r="A79" s="496" t="s">
        <v>1373</v>
      </c>
      <c r="D79" s="496" t="str">
        <f>'G-1 All Habitats'!B84</f>
        <v>Wetland - Fens (upland and lowland)</v>
      </c>
    </row>
    <row r="80" spans="1:4" x14ac:dyDescent="0.3">
      <c r="A80" s="496" t="s">
        <v>1374</v>
      </c>
      <c r="D80" s="496" t="str">
        <f>'G-1 All Habitats'!B85</f>
        <v>Wetland - Lowland raised bog</v>
      </c>
    </row>
    <row r="81" spans="1:4" x14ac:dyDescent="0.3">
      <c r="A81" s="496" t="s">
        <v>1375</v>
      </c>
      <c r="D81" s="496" t="str">
        <f>'G-1 All Habitats'!B86</f>
        <v>Wetland - Oceanic valley mire[1] (D2.1)</v>
      </c>
    </row>
    <row r="82" spans="1:4" x14ac:dyDescent="0.3">
      <c r="A82" s="496" t="s">
        <v>1376</v>
      </c>
      <c r="D82" s="496" t="str">
        <f>'G-1 All Habitats'!B87</f>
        <v>Wetland - Purple moor grass and rush pastures</v>
      </c>
    </row>
    <row r="83" spans="1:4" x14ac:dyDescent="0.3">
      <c r="A83" s="496" t="s">
        <v>1377</v>
      </c>
      <c r="D83" s="496" t="str">
        <f>'G-1 All Habitats'!B88</f>
        <v>Wetland - Reedbeds</v>
      </c>
    </row>
    <row r="84" spans="1:4" x14ac:dyDescent="0.3">
      <c r="A84" s="496" t="s">
        <v>1378</v>
      </c>
      <c r="D84" s="496" t="str">
        <f>'G-1 All Habitats'!B89</f>
        <v>Wetland - Transition mires and quaking bogs (H7140)</v>
      </c>
    </row>
    <row r="85" spans="1:4" x14ac:dyDescent="0.3">
      <c r="A85" s="496" t="s">
        <v>1379</v>
      </c>
      <c r="D85" s="496" t="str">
        <f>'G-1 All Habitats'!B90</f>
        <v>Woodland and forest - Felled</v>
      </c>
    </row>
    <row r="86" spans="1:4" x14ac:dyDescent="0.3">
      <c r="A86" s="496" t="s">
        <v>1380</v>
      </c>
      <c r="D86" s="496" t="str">
        <f>'G-1 All Habitats'!B91</f>
        <v>Woodland and forest - Lowland beech and yew woodland</v>
      </c>
    </row>
    <row r="87" spans="1:4" x14ac:dyDescent="0.3">
      <c r="A87" s="496" t="s">
        <v>1381</v>
      </c>
      <c r="D87" s="496" t="str">
        <f>'G-1 All Habitats'!B92</f>
        <v>Woodland and forest - Lowland mixed deciduous woodland</v>
      </c>
    </row>
    <row r="88" spans="1:4" x14ac:dyDescent="0.3">
      <c r="A88" s="496" t="s">
        <v>1382</v>
      </c>
      <c r="D88" s="496" t="str">
        <f>'G-1 All Habitats'!B93</f>
        <v>Woodland and forest - Native pine woodlands</v>
      </c>
    </row>
    <row r="89" spans="1:4" x14ac:dyDescent="0.3">
      <c r="A89" s="496" t="s">
        <v>1383</v>
      </c>
      <c r="D89" s="496" t="str">
        <f>'G-1 All Habitats'!B94</f>
        <v>Woodland and forest - Other coniferous woodland</v>
      </c>
    </row>
    <row r="90" spans="1:4" x14ac:dyDescent="0.3">
      <c r="A90" s="496" t="s">
        <v>1384</v>
      </c>
      <c r="D90" s="496" t="str">
        <f>'G-1 All Habitats'!B95</f>
        <v>Woodland and forest - Other Scot's pine woodland</v>
      </c>
    </row>
    <row r="91" spans="1:4" x14ac:dyDescent="0.3">
      <c r="A91" s="496" t="s">
        <v>1385</v>
      </c>
      <c r="D91" s="496" t="str">
        <f>'G-1 All Habitats'!B96</f>
        <v>Woodland and forest - Other woodland; broadleaved</v>
      </c>
    </row>
    <row r="92" spans="1:4" x14ac:dyDescent="0.3">
      <c r="A92" s="496" t="s">
        <v>1386</v>
      </c>
      <c r="D92" s="496" t="str">
        <f>'G-1 All Habitats'!B97</f>
        <v>Woodland and forest - Other woodland; mixed</v>
      </c>
    </row>
    <row r="93" spans="1:4" x14ac:dyDescent="0.3">
      <c r="A93" s="496" t="s">
        <v>1387</v>
      </c>
      <c r="D93" s="496" t="str">
        <f>'G-1 All Habitats'!B98</f>
        <v>Woodland and forest - Upland birchwoods</v>
      </c>
    </row>
    <row r="94" spans="1:4" x14ac:dyDescent="0.3">
      <c r="A94" s="496" t="s">
        <v>1388</v>
      </c>
      <c r="D94" s="496" t="str">
        <f>'G-1 All Habitats'!B99</f>
        <v>Woodland and forest - Upland mixed ashwoods</v>
      </c>
    </row>
    <row r="95" spans="1:4" x14ac:dyDescent="0.3">
      <c r="A95" s="496" t="s">
        <v>1389</v>
      </c>
      <c r="D95" s="496" t="str">
        <f>'G-1 All Habitats'!B100</f>
        <v>Woodland and forest - Upland oakwood</v>
      </c>
    </row>
    <row r="96" spans="1:4" x14ac:dyDescent="0.3">
      <c r="A96" s="496" t="s">
        <v>1390</v>
      </c>
      <c r="D96" s="496" t="str">
        <f>'G-1 All Habitats'!B101</f>
        <v>Woodland and forest - Wet woodland</v>
      </c>
    </row>
    <row r="97" spans="1:4" x14ac:dyDescent="0.3">
      <c r="A97" s="496" t="s">
        <v>1391</v>
      </c>
      <c r="D97" s="496" t="str">
        <f>'G-1 All Habitats'!B102</f>
        <v>Woodland and forest - Wood-pasture and parkland</v>
      </c>
    </row>
    <row r="98" spans="1:4" x14ac:dyDescent="0.3">
      <c r="A98" s="496" t="s">
        <v>1392</v>
      </c>
      <c r="D98" s="496" t="str">
        <f>'G-1 All Habitats'!B103</f>
        <v>Coastal lagoons - Coastal lagoons</v>
      </c>
    </row>
    <row r="99" spans="1:4" x14ac:dyDescent="0.3">
      <c r="A99" s="496" t="s">
        <v>1393</v>
      </c>
      <c r="D99" s="496" t="str">
        <f>'G-1 All Habitats'!B104</f>
        <v>Rocky shore - High energy littoral rock</v>
      </c>
    </row>
    <row r="100" spans="1:4" x14ac:dyDescent="0.3">
      <c r="A100" s="496" t="s">
        <v>1394</v>
      </c>
      <c r="D100" s="496" t="str">
        <f>'G-1 All Habitats'!B105</f>
        <v>Rocky shore - High energy littoral rock - on peat, clay or chalk</v>
      </c>
    </row>
    <row r="101" spans="1:4" x14ac:dyDescent="0.3">
      <c r="A101" s="496" t="s">
        <v>1395</v>
      </c>
      <c r="D101" s="496" t="str">
        <f>'G-1 All Habitats'!B106</f>
        <v>Rocky shore - Moderate energy littoral rock</v>
      </c>
    </row>
    <row r="102" spans="1:4" x14ac:dyDescent="0.3">
      <c r="A102" s="496" t="s">
        <v>1396</v>
      </c>
      <c r="D102" s="496" t="str">
        <f>'G-1 All Habitats'!B107</f>
        <v>Rocky shore - Moderate energy littoral rock - on peat, clay or chalk</v>
      </c>
    </row>
    <row r="103" spans="1:4" x14ac:dyDescent="0.3">
      <c r="A103" s="496" t="s">
        <v>1397</v>
      </c>
      <c r="D103" s="496" t="str">
        <f>'G-1 All Habitats'!B108</f>
        <v>Rocky shore - Low energy littoral rock</v>
      </c>
    </row>
    <row r="104" spans="1:4" x14ac:dyDescent="0.3">
      <c r="A104" s="496" t="s">
        <v>1398</v>
      </c>
      <c r="D104" s="496" t="str">
        <f>'G-1 All Habitats'!B109</f>
        <v>Rocky shore - Low energy littoral rock - on peat, clay or chalk</v>
      </c>
    </row>
    <row r="105" spans="1:4" x14ac:dyDescent="0.3">
      <c r="A105" s="496" t="s">
        <v>1399</v>
      </c>
      <c r="D105" s="496" t="str">
        <f>'G-1 All Habitats'!B110</f>
        <v>Rocky shore - Features of littoral rock</v>
      </c>
    </row>
    <row r="106" spans="1:4" x14ac:dyDescent="0.3">
      <c r="A106" s="496" t="s">
        <v>1400</v>
      </c>
      <c r="D106" s="496" t="str">
        <f>'G-1 All Habitats'!B111</f>
        <v>Rocky shore - Features of littoral rock - on peat, clay or chalk</v>
      </c>
    </row>
    <row r="107" spans="1:4" x14ac:dyDescent="0.3">
      <c r="A107" s="496" t="s">
        <v>1401</v>
      </c>
      <c r="D107" s="496" t="str">
        <f>'G-1 All Habitats'!B114</f>
        <v>Intertidal sediment - Littoral coarse sediment</v>
      </c>
    </row>
    <row r="108" spans="1:4" x14ac:dyDescent="0.3">
      <c r="A108" s="496" t="s">
        <v>1402</v>
      </c>
      <c r="D108" s="496" t="str">
        <f>'G-1 All Habitats'!B115</f>
        <v>Intertidal sediment - Littoral mud</v>
      </c>
    </row>
    <row r="109" spans="1:4" x14ac:dyDescent="0.3">
      <c r="A109" s="496" t="s">
        <v>1403</v>
      </c>
      <c r="D109" s="496" t="str">
        <f>'G-1 All Habitats'!B116</f>
        <v>Intertidal sediment - Littoral mixed sediments</v>
      </c>
    </row>
    <row r="110" spans="1:4" x14ac:dyDescent="0.3">
      <c r="A110" s="496" t="s">
        <v>1404</v>
      </c>
      <c r="D110" s="496" t="str">
        <f>'G-1 All Habitats'!B112</f>
        <v>Coastal saltmarsh - Saltmarshes and saline reedbeds</v>
      </c>
    </row>
    <row r="111" spans="1:4" x14ac:dyDescent="0.3">
      <c r="A111" s="496" t="s">
        <v>1405</v>
      </c>
      <c r="D111" s="496" t="str">
        <f>'G-1 All Habitats'!B117</f>
        <v>Intertidal sediment - Littoral seagrass</v>
      </c>
    </row>
    <row r="112" spans="1:4" x14ac:dyDescent="0.3">
      <c r="A112" s="496" t="s">
        <v>1406</v>
      </c>
      <c r="D112" s="496" t="str">
        <f>'G-1 All Habitats'!B118</f>
        <v>Intertidal sediment - Littoral seagrass on peat, clay or chalk</v>
      </c>
    </row>
    <row r="113" spans="1:4" x14ac:dyDescent="0.3">
      <c r="A113" s="496" t="s">
        <v>1407</v>
      </c>
      <c r="D113" s="496" t="str">
        <f>'G-1 All Habitats'!B120</f>
        <v>Intertidal sediment - Littoral biogenic reefs - Sabellaria</v>
      </c>
    </row>
    <row r="114" spans="1:4" x14ac:dyDescent="0.3">
      <c r="A114" s="496" t="s">
        <v>1408</v>
      </c>
      <c r="D114" s="496" t="str">
        <f>'G-1 All Habitats'!B121</f>
        <v>Intertidal sediment - Features of littoral sediment</v>
      </c>
    </row>
    <row r="115" spans="1:4" x14ac:dyDescent="0.3">
      <c r="A115" s="496" t="s">
        <v>1409</v>
      </c>
      <c r="D115" s="496" t="str">
        <f>'G-1 All Habitats'!B122</f>
        <v>Intertidal sediment - Artificial littoral coarse sediment</v>
      </c>
    </row>
    <row r="116" spans="1:4" x14ac:dyDescent="0.3">
      <c r="A116" s="496" t="s">
        <v>1410</v>
      </c>
      <c r="D116" s="496" t="str">
        <f>'G-1 All Habitats'!B125</f>
        <v>Intertidal sediment - Artificial littoral muddy sand</v>
      </c>
    </row>
    <row r="117" spans="1:4" x14ac:dyDescent="0.3">
      <c r="A117" s="496" t="s">
        <v>1411</v>
      </c>
      <c r="D117" s="496" t="str">
        <f>'G-1 All Habitats'!B126</f>
        <v>Intertidal sediment - Artificial littoral mixed sediments</v>
      </c>
    </row>
    <row r="118" spans="1:4" x14ac:dyDescent="0.3">
      <c r="A118" s="496" t="s">
        <v>1412</v>
      </c>
      <c r="D118" s="496" t="str">
        <f>'G-1 All Habitats'!B127</f>
        <v>Intertidal sediment - Artificial littoral seagrass</v>
      </c>
    </row>
    <row r="119" spans="1:4" x14ac:dyDescent="0.3">
      <c r="A119" s="496" t="s">
        <v>1413</v>
      </c>
      <c r="D119" s="496" t="str">
        <f>'G-1 All Habitats'!B128</f>
        <v>Intertidal sediment - Artificial littoral biogenic reefs</v>
      </c>
    </row>
    <row r="120" spans="1:4" x14ac:dyDescent="0.3">
      <c r="A120" s="496" t="s">
        <v>1414</v>
      </c>
      <c r="D120" s="496" t="str">
        <f>'G-1 All Habitats'!B81</f>
        <v>Individual trees - Rural tree</v>
      </c>
    </row>
    <row r="121" spans="1:4" x14ac:dyDescent="0.3">
      <c r="A121" s="496" t="s">
        <v>1415</v>
      </c>
      <c r="D121" s="496">
        <f>'G-1 All Habitats'!B135</f>
        <v>0</v>
      </c>
    </row>
    <row r="122" spans="1:4" x14ac:dyDescent="0.3">
      <c r="A122" s="496" t="s">
        <v>1416</v>
      </c>
      <c r="D122" s="496">
        <f>'G-1 All Habitats'!B136</f>
        <v>0</v>
      </c>
    </row>
    <row r="123" spans="1:4" x14ac:dyDescent="0.3">
      <c r="A123" s="496" t="s">
        <v>1417</v>
      </c>
      <c r="D123" s="496">
        <f>'G-1 All Habitats'!B137</f>
        <v>0</v>
      </c>
    </row>
    <row r="124" spans="1:4" x14ac:dyDescent="0.3">
      <c r="A124" s="496" t="s">
        <v>1418</v>
      </c>
      <c r="D124" s="496">
        <f>'G-1 All Habitats'!B138</f>
        <v>0</v>
      </c>
    </row>
    <row r="125" spans="1:4" x14ac:dyDescent="0.3">
      <c r="A125" s="496" t="s">
        <v>1419</v>
      </c>
      <c r="D125" s="496">
        <f>'G-1 All Habitats'!B139</f>
        <v>0</v>
      </c>
    </row>
    <row r="126" spans="1:4" x14ac:dyDescent="0.3">
      <c r="A126" s="496" t="s">
        <v>1420</v>
      </c>
      <c r="D126" s="496">
        <f>'G-1 All Habitats'!B140</f>
        <v>0</v>
      </c>
    </row>
    <row r="127" spans="1:4" x14ac:dyDescent="0.3">
      <c r="A127" s="496" t="s">
        <v>1421</v>
      </c>
      <c r="D127" s="496">
        <f>'G-1 All Habitats'!B141</f>
        <v>0</v>
      </c>
    </row>
    <row r="128" spans="1:4" x14ac:dyDescent="0.3">
      <c r="A128" s="496" t="s">
        <v>1422</v>
      </c>
      <c r="D128" s="496">
        <f>'G-1 All Habitats'!B142</f>
        <v>0</v>
      </c>
    </row>
    <row r="129" spans="1:4" x14ac:dyDescent="0.3">
      <c r="A129" s="496" t="s">
        <v>1423</v>
      </c>
      <c r="D129" s="496">
        <f>'G-1 All Habitats'!B143</f>
        <v>0</v>
      </c>
    </row>
    <row r="130" spans="1:4" x14ac:dyDescent="0.3">
      <c r="A130" s="496" t="s">
        <v>1424</v>
      </c>
      <c r="D130" s="496">
        <f>'G-1 All Habitats'!B144</f>
        <v>0</v>
      </c>
    </row>
    <row r="131" spans="1:4" x14ac:dyDescent="0.3">
      <c r="A131" s="496" t="s">
        <v>1425</v>
      </c>
      <c r="D131" s="496">
        <f>'G-1 All Habitats'!B145</f>
        <v>0</v>
      </c>
    </row>
    <row r="132" spans="1:4" x14ac:dyDescent="0.3">
      <c r="A132" s="496" t="s">
        <v>1426</v>
      </c>
      <c r="D132" s="496">
        <f>'G-1 All Habitats'!B146</f>
        <v>0</v>
      </c>
    </row>
    <row r="133" spans="1:4" x14ac:dyDescent="0.3">
      <c r="A133" s="496" t="s">
        <v>1427</v>
      </c>
      <c r="D133" s="496">
        <f>'G-1 All Habitats'!B147</f>
        <v>0</v>
      </c>
    </row>
    <row r="134" spans="1:4" x14ac:dyDescent="0.3">
      <c r="A134" s="496" t="s">
        <v>1428</v>
      </c>
      <c r="D134" s="496">
        <f>'G-1 All Habitats'!B148</f>
        <v>0</v>
      </c>
    </row>
    <row r="135" spans="1:4" x14ac:dyDescent="0.3">
      <c r="A135" s="496" t="s">
        <v>1429</v>
      </c>
      <c r="D135" s="496">
        <f>'G-1 All Habitats'!B149</f>
        <v>0</v>
      </c>
    </row>
    <row r="136" spans="1:4" x14ac:dyDescent="0.3">
      <c r="A136" s="496" t="s">
        <v>1430</v>
      </c>
      <c r="D136" s="496">
        <f>'G-1 All Habitats'!B150</f>
        <v>0</v>
      </c>
    </row>
    <row r="137" spans="1:4" x14ac:dyDescent="0.3">
      <c r="A137" s="496" t="s">
        <v>1431</v>
      </c>
      <c r="D137" s="496">
        <f>'G-1 All Habitats'!B151</f>
        <v>0</v>
      </c>
    </row>
    <row r="138" spans="1:4" x14ac:dyDescent="0.3">
      <c r="A138" s="496" t="s">
        <v>1432</v>
      </c>
      <c r="D138" s="496">
        <f>'G-1 All Habitats'!B152</f>
        <v>0</v>
      </c>
    </row>
    <row r="139" spans="1:4" x14ac:dyDescent="0.3">
      <c r="A139" s="496" t="s">
        <v>1433</v>
      </c>
      <c r="D139" s="496">
        <f>'G-1 All Habitats'!B153</f>
        <v>0</v>
      </c>
    </row>
    <row r="140" spans="1:4" x14ac:dyDescent="0.3">
      <c r="A140" s="496" t="s">
        <v>1434</v>
      </c>
      <c r="D140" s="496">
        <f>'G-1 All Habitats'!B154</f>
        <v>0</v>
      </c>
    </row>
    <row r="141" spans="1:4" x14ac:dyDescent="0.3">
      <c r="A141" s="496" t="s">
        <v>1435</v>
      </c>
    </row>
    <row r="142" spans="1:4" x14ac:dyDescent="0.3">
      <c r="A142" s="496" t="s">
        <v>1436</v>
      </c>
    </row>
    <row r="143" spans="1:4" x14ac:dyDescent="0.3">
      <c r="A143" s="496" t="s">
        <v>1437</v>
      </c>
    </row>
    <row r="144" spans="1:4" x14ac:dyDescent="0.3">
      <c r="A144" s="496" t="s">
        <v>1438</v>
      </c>
    </row>
    <row r="145" spans="1:1" x14ac:dyDescent="0.3">
      <c r="A145" s="496" t="s">
        <v>1439</v>
      </c>
    </row>
    <row r="146" spans="1:1" x14ac:dyDescent="0.3">
      <c r="A146" s="496" t="s">
        <v>1440</v>
      </c>
    </row>
    <row r="147" spans="1:1" x14ac:dyDescent="0.3">
      <c r="A147" s="496" t="s">
        <v>1441</v>
      </c>
    </row>
    <row r="148" spans="1:1" x14ac:dyDescent="0.3">
      <c r="A148" s="496" t="s">
        <v>1442</v>
      </c>
    </row>
    <row r="149" spans="1:1" x14ac:dyDescent="0.3">
      <c r="A149" s="496" t="s">
        <v>1443</v>
      </c>
    </row>
    <row r="150" spans="1:1" x14ac:dyDescent="0.3">
      <c r="A150" s="496" t="s">
        <v>1444</v>
      </c>
    </row>
    <row r="151" spans="1:1" x14ac:dyDescent="0.3">
      <c r="A151" s="496" t="s">
        <v>1445</v>
      </c>
    </row>
    <row r="152" spans="1:1" x14ac:dyDescent="0.3">
      <c r="A152" s="496" t="s">
        <v>1446</v>
      </c>
    </row>
    <row r="153" spans="1:1" x14ac:dyDescent="0.3">
      <c r="A153" s="496" t="s">
        <v>1447</v>
      </c>
    </row>
    <row r="154" spans="1:1" x14ac:dyDescent="0.3">
      <c r="A154" s="496" t="s">
        <v>1448</v>
      </c>
    </row>
    <row r="155" spans="1:1" x14ac:dyDescent="0.3">
      <c r="A155" s="496" t="s">
        <v>1449</v>
      </c>
    </row>
    <row r="156" spans="1:1" x14ac:dyDescent="0.3">
      <c r="A156" s="496" t="s">
        <v>1450</v>
      </c>
    </row>
    <row r="157" spans="1:1" x14ac:dyDescent="0.3">
      <c r="A157" s="496" t="s">
        <v>1451</v>
      </c>
    </row>
    <row r="158" spans="1:1" x14ac:dyDescent="0.3">
      <c r="A158" s="496" t="s">
        <v>1452</v>
      </c>
    </row>
    <row r="159" spans="1:1" x14ac:dyDescent="0.3">
      <c r="A159" s="496" t="s">
        <v>1453</v>
      </c>
    </row>
    <row r="160" spans="1:1" x14ac:dyDescent="0.3">
      <c r="A160" s="496" t="s">
        <v>1454</v>
      </c>
    </row>
    <row r="161" spans="1:1" x14ac:dyDescent="0.3">
      <c r="A161" s="496" t="s">
        <v>1455</v>
      </c>
    </row>
    <row r="162" spans="1:1" x14ac:dyDescent="0.3">
      <c r="A162" s="496" t="s">
        <v>1456</v>
      </c>
    </row>
    <row r="163" spans="1:1" x14ac:dyDescent="0.3">
      <c r="A163" s="496" t="s">
        <v>1457</v>
      </c>
    </row>
    <row r="164" spans="1:1" x14ac:dyDescent="0.3">
      <c r="A164" s="496" t="s">
        <v>1458</v>
      </c>
    </row>
    <row r="165" spans="1:1" x14ac:dyDescent="0.3">
      <c r="A165" s="496" t="s">
        <v>1459</v>
      </c>
    </row>
    <row r="166" spans="1:1" x14ac:dyDescent="0.3">
      <c r="A166" s="496" t="s">
        <v>1460</v>
      </c>
    </row>
    <row r="167" spans="1:1" x14ac:dyDescent="0.3">
      <c r="A167" s="496" t="s">
        <v>1461</v>
      </c>
    </row>
    <row r="168" spans="1:1" x14ac:dyDescent="0.3">
      <c r="A168" s="496" t="s">
        <v>1462</v>
      </c>
    </row>
    <row r="169" spans="1:1" x14ac:dyDescent="0.3">
      <c r="A169" s="496" t="s">
        <v>1463</v>
      </c>
    </row>
    <row r="170" spans="1:1" x14ac:dyDescent="0.3">
      <c r="A170" s="496" t="s">
        <v>1464</v>
      </c>
    </row>
    <row r="171" spans="1:1" x14ac:dyDescent="0.3">
      <c r="A171" s="496" t="s">
        <v>1465</v>
      </c>
    </row>
    <row r="172" spans="1:1" x14ac:dyDescent="0.3">
      <c r="A172" s="496" t="s">
        <v>1466</v>
      </c>
    </row>
    <row r="173" spans="1:1" x14ac:dyDescent="0.3">
      <c r="A173" s="496" t="s">
        <v>1467</v>
      </c>
    </row>
    <row r="174" spans="1:1" x14ac:dyDescent="0.3">
      <c r="A174" s="496" t="s">
        <v>1468</v>
      </c>
    </row>
    <row r="175" spans="1:1" x14ac:dyDescent="0.3">
      <c r="A175" s="496" t="s">
        <v>1469</v>
      </c>
    </row>
    <row r="176" spans="1:1" x14ac:dyDescent="0.3">
      <c r="A176" s="496" t="s">
        <v>1470</v>
      </c>
    </row>
    <row r="177" spans="1:1" x14ac:dyDescent="0.3">
      <c r="A177" s="496" t="s">
        <v>1471</v>
      </c>
    </row>
    <row r="178" spans="1:1" x14ac:dyDescent="0.3">
      <c r="A178" s="496" t="s">
        <v>1472</v>
      </c>
    </row>
    <row r="179" spans="1:1" x14ac:dyDescent="0.3">
      <c r="A179" s="496" t="s">
        <v>1473</v>
      </c>
    </row>
    <row r="180" spans="1:1" x14ac:dyDescent="0.3">
      <c r="A180" s="496" t="s">
        <v>1474</v>
      </c>
    </row>
    <row r="181" spans="1:1" x14ac:dyDescent="0.3">
      <c r="A181" s="496" t="s">
        <v>1475</v>
      </c>
    </row>
    <row r="182" spans="1:1" x14ac:dyDescent="0.3">
      <c r="A182" s="496" t="s">
        <v>1476</v>
      </c>
    </row>
    <row r="183" spans="1:1" x14ac:dyDescent="0.3">
      <c r="A183" s="496" t="s">
        <v>1477</v>
      </c>
    </row>
    <row r="184" spans="1:1" x14ac:dyDescent="0.3">
      <c r="A184" s="496" t="s">
        <v>1478</v>
      </c>
    </row>
    <row r="185" spans="1:1" x14ac:dyDescent="0.3">
      <c r="A185" s="496" t="s">
        <v>1479</v>
      </c>
    </row>
    <row r="186" spans="1:1" x14ac:dyDescent="0.3">
      <c r="A186" s="496" t="s">
        <v>1480</v>
      </c>
    </row>
    <row r="187" spans="1:1" x14ac:dyDescent="0.3">
      <c r="A187" s="496" t="s">
        <v>1481</v>
      </c>
    </row>
    <row r="188" spans="1:1" x14ac:dyDescent="0.3">
      <c r="A188" s="496" t="s">
        <v>1482</v>
      </c>
    </row>
    <row r="189" spans="1:1" x14ac:dyDescent="0.3">
      <c r="A189" s="496" t="s">
        <v>1483</v>
      </c>
    </row>
    <row r="190" spans="1:1" x14ac:dyDescent="0.3">
      <c r="A190" s="496" t="s">
        <v>1484</v>
      </c>
    </row>
    <row r="191" spans="1:1" x14ac:dyDescent="0.3">
      <c r="A191" s="496" t="s">
        <v>1485</v>
      </c>
    </row>
    <row r="192" spans="1:1" x14ac:dyDescent="0.3">
      <c r="A192" s="496" t="s">
        <v>1486</v>
      </c>
    </row>
    <row r="193" spans="1:1" x14ac:dyDescent="0.3">
      <c r="A193" s="496" t="s">
        <v>1487</v>
      </c>
    </row>
    <row r="194" spans="1:1" x14ac:dyDescent="0.3">
      <c r="A194" s="496" t="s">
        <v>1488</v>
      </c>
    </row>
    <row r="195" spans="1:1" x14ac:dyDescent="0.3">
      <c r="A195" s="496" t="s">
        <v>1489</v>
      </c>
    </row>
    <row r="196" spans="1:1" x14ac:dyDescent="0.3">
      <c r="A196" s="496" t="s">
        <v>1490</v>
      </c>
    </row>
    <row r="197" spans="1:1" x14ac:dyDescent="0.3">
      <c r="A197" s="496" t="s">
        <v>1491</v>
      </c>
    </row>
    <row r="198" spans="1:1" x14ac:dyDescent="0.3">
      <c r="A198" s="496" t="s">
        <v>1492</v>
      </c>
    </row>
    <row r="199" spans="1:1" x14ac:dyDescent="0.3">
      <c r="A199" s="496" t="s">
        <v>1493</v>
      </c>
    </row>
    <row r="200" spans="1:1" x14ac:dyDescent="0.3">
      <c r="A200" s="496" t="s">
        <v>1494</v>
      </c>
    </row>
    <row r="201" spans="1:1" x14ac:dyDescent="0.3">
      <c r="A201" s="496" t="s">
        <v>1495</v>
      </c>
    </row>
    <row r="202" spans="1:1" x14ac:dyDescent="0.3">
      <c r="A202" s="496" t="s">
        <v>1496</v>
      </c>
    </row>
    <row r="203" spans="1:1" x14ac:dyDescent="0.3">
      <c r="A203" s="496" t="s">
        <v>1497</v>
      </c>
    </row>
    <row r="204" spans="1:1" x14ac:dyDescent="0.3">
      <c r="A204" s="496" t="s">
        <v>1498</v>
      </c>
    </row>
    <row r="205" spans="1:1" x14ac:dyDescent="0.3">
      <c r="A205" s="496" t="s">
        <v>1499</v>
      </c>
    </row>
    <row r="206" spans="1:1" x14ac:dyDescent="0.3">
      <c r="A206" s="496" t="s">
        <v>1500</v>
      </c>
    </row>
    <row r="207" spans="1:1" x14ac:dyDescent="0.3">
      <c r="A207" s="496" t="s">
        <v>1501</v>
      </c>
    </row>
    <row r="208" spans="1:1" x14ac:dyDescent="0.3">
      <c r="A208" s="496" t="s">
        <v>1502</v>
      </c>
    </row>
    <row r="209" spans="1:1" x14ac:dyDescent="0.3">
      <c r="A209" s="496" t="s">
        <v>1503</v>
      </c>
    </row>
    <row r="210" spans="1:1" x14ac:dyDescent="0.3">
      <c r="A210" s="496" t="s">
        <v>1504</v>
      </c>
    </row>
    <row r="211" spans="1:1" x14ac:dyDescent="0.3">
      <c r="A211" s="496" t="s">
        <v>1505</v>
      </c>
    </row>
    <row r="212" spans="1:1" x14ac:dyDescent="0.3">
      <c r="A212" s="496" t="s">
        <v>1506</v>
      </c>
    </row>
    <row r="213" spans="1:1" x14ac:dyDescent="0.3">
      <c r="A213" s="496" t="s">
        <v>1507</v>
      </c>
    </row>
    <row r="214" spans="1:1" x14ac:dyDescent="0.3">
      <c r="A214" s="496" t="s">
        <v>1508</v>
      </c>
    </row>
    <row r="215" spans="1:1" x14ac:dyDescent="0.3">
      <c r="A215" s="496" t="s">
        <v>1509</v>
      </c>
    </row>
    <row r="216" spans="1:1" x14ac:dyDescent="0.3">
      <c r="A216" s="496" t="s">
        <v>1510</v>
      </c>
    </row>
    <row r="217" spans="1:1" x14ac:dyDescent="0.3">
      <c r="A217" s="496" t="s">
        <v>1511</v>
      </c>
    </row>
    <row r="218" spans="1:1" x14ac:dyDescent="0.3">
      <c r="A218" s="496" t="s">
        <v>1512</v>
      </c>
    </row>
    <row r="219" spans="1:1" x14ac:dyDescent="0.3">
      <c r="A219" s="496" t="s">
        <v>1513</v>
      </c>
    </row>
    <row r="220" spans="1:1" x14ac:dyDescent="0.3">
      <c r="A220" s="496" t="s">
        <v>1514</v>
      </c>
    </row>
    <row r="221" spans="1:1" x14ac:dyDescent="0.3">
      <c r="A221" s="496" t="s">
        <v>1515</v>
      </c>
    </row>
    <row r="222" spans="1:1" x14ac:dyDescent="0.3">
      <c r="A222" s="496" t="s">
        <v>1516</v>
      </c>
    </row>
    <row r="223" spans="1:1" x14ac:dyDescent="0.3">
      <c r="A223" s="496" t="s">
        <v>1517</v>
      </c>
    </row>
    <row r="224" spans="1:1" x14ac:dyDescent="0.3">
      <c r="A224" s="496" t="s">
        <v>1518</v>
      </c>
    </row>
    <row r="225" spans="1:1" x14ac:dyDescent="0.3">
      <c r="A225" s="496" t="s">
        <v>1519</v>
      </c>
    </row>
    <row r="226" spans="1:1" x14ac:dyDescent="0.3">
      <c r="A226" s="496" t="s">
        <v>1520</v>
      </c>
    </row>
    <row r="227" spans="1:1" x14ac:dyDescent="0.3">
      <c r="A227" s="496" t="s">
        <v>1521</v>
      </c>
    </row>
    <row r="228" spans="1:1" x14ac:dyDescent="0.3">
      <c r="A228" s="496" t="s">
        <v>1522</v>
      </c>
    </row>
    <row r="229" spans="1:1" x14ac:dyDescent="0.3">
      <c r="A229" s="496" t="s">
        <v>1523</v>
      </c>
    </row>
    <row r="230" spans="1:1" x14ac:dyDescent="0.3">
      <c r="A230" s="496" t="s">
        <v>1524</v>
      </c>
    </row>
    <row r="231" spans="1:1" x14ac:dyDescent="0.3">
      <c r="A231" s="496" t="s">
        <v>1525</v>
      </c>
    </row>
    <row r="232" spans="1:1" x14ac:dyDescent="0.3">
      <c r="A232" s="496" t="s">
        <v>1526</v>
      </c>
    </row>
    <row r="233" spans="1:1" x14ac:dyDescent="0.3">
      <c r="A233" s="496" t="s">
        <v>1527</v>
      </c>
    </row>
    <row r="234" spans="1:1" x14ac:dyDescent="0.3">
      <c r="A234" s="496" t="s">
        <v>1528</v>
      </c>
    </row>
    <row r="235" spans="1:1" x14ac:dyDescent="0.3">
      <c r="A235" s="496" t="s">
        <v>1529</v>
      </c>
    </row>
    <row r="236" spans="1:1" x14ac:dyDescent="0.3">
      <c r="A236" s="496" t="s">
        <v>1530</v>
      </c>
    </row>
    <row r="237" spans="1:1" x14ac:dyDescent="0.3">
      <c r="A237" s="496" t="s">
        <v>1531</v>
      </c>
    </row>
    <row r="238" spans="1:1" x14ac:dyDescent="0.3">
      <c r="A238" s="496" t="s">
        <v>1532</v>
      </c>
    </row>
    <row r="239" spans="1:1" x14ac:dyDescent="0.3">
      <c r="A239" s="496" t="s">
        <v>1533</v>
      </c>
    </row>
    <row r="240" spans="1:1" x14ac:dyDescent="0.3">
      <c r="A240" s="496" t="s">
        <v>1534</v>
      </c>
    </row>
    <row r="241" spans="1:1" x14ac:dyDescent="0.3">
      <c r="A241" s="496" t="s">
        <v>1535</v>
      </c>
    </row>
    <row r="242" spans="1:1" x14ac:dyDescent="0.3">
      <c r="A242" s="496" t="s">
        <v>1536</v>
      </c>
    </row>
    <row r="243" spans="1:1" x14ac:dyDescent="0.3">
      <c r="A243" s="496" t="s">
        <v>1537</v>
      </c>
    </row>
    <row r="244" spans="1:1" x14ac:dyDescent="0.3">
      <c r="A244" s="496" t="s">
        <v>1538</v>
      </c>
    </row>
    <row r="245" spans="1:1" x14ac:dyDescent="0.3">
      <c r="A245" s="496" t="s">
        <v>1539</v>
      </c>
    </row>
    <row r="246" spans="1:1" x14ac:dyDescent="0.3">
      <c r="A246" s="496" t="s">
        <v>1540</v>
      </c>
    </row>
    <row r="247" spans="1:1" x14ac:dyDescent="0.3">
      <c r="A247" s="496" t="s">
        <v>1541</v>
      </c>
    </row>
    <row r="248" spans="1:1" x14ac:dyDescent="0.3">
      <c r="A248" s="496" t="s">
        <v>1542</v>
      </c>
    </row>
    <row r="249" spans="1:1" x14ac:dyDescent="0.3">
      <c r="A249" s="496" t="s">
        <v>1543</v>
      </c>
    </row>
    <row r="250" spans="1:1" x14ac:dyDescent="0.3">
      <c r="A250" s="496" t="s">
        <v>1544</v>
      </c>
    </row>
    <row r="251" spans="1:1" x14ac:dyDescent="0.3">
      <c r="A251" s="496" t="s">
        <v>1545</v>
      </c>
    </row>
    <row r="252" spans="1:1" x14ac:dyDescent="0.3">
      <c r="A252" s="496" t="s">
        <v>1546</v>
      </c>
    </row>
    <row r="253" spans="1:1" x14ac:dyDescent="0.3">
      <c r="A253" s="496" t="s">
        <v>1547</v>
      </c>
    </row>
    <row r="254" spans="1:1" x14ac:dyDescent="0.3">
      <c r="A254" s="496" t="s">
        <v>1548</v>
      </c>
    </row>
    <row r="255" spans="1:1" x14ac:dyDescent="0.3">
      <c r="A255" s="496" t="s">
        <v>1549</v>
      </c>
    </row>
    <row r="256" spans="1:1" x14ac:dyDescent="0.3">
      <c r="A256" s="496" t="s">
        <v>1550</v>
      </c>
    </row>
    <row r="257" spans="1:1" x14ac:dyDescent="0.3">
      <c r="A257" s="496" t="s">
        <v>1551</v>
      </c>
    </row>
    <row r="258" spans="1:1" x14ac:dyDescent="0.3">
      <c r="A258" s="496" t="s">
        <v>1552</v>
      </c>
    </row>
    <row r="259" spans="1:1" x14ac:dyDescent="0.3">
      <c r="A259" s="496" t="s">
        <v>1553</v>
      </c>
    </row>
    <row r="260" spans="1:1" x14ac:dyDescent="0.3">
      <c r="A260" s="496" t="s">
        <v>1554</v>
      </c>
    </row>
    <row r="261" spans="1:1" x14ac:dyDescent="0.3">
      <c r="A261" s="496" t="s">
        <v>1555</v>
      </c>
    </row>
    <row r="262" spans="1:1" x14ac:dyDescent="0.3">
      <c r="A262" s="496" t="s">
        <v>1556</v>
      </c>
    </row>
    <row r="263" spans="1:1" x14ac:dyDescent="0.3">
      <c r="A263" s="496" t="s">
        <v>1557</v>
      </c>
    </row>
    <row r="264" spans="1:1" x14ac:dyDescent="0.3">
      <c r="A264" s="496" t="s">
        <v>1558</v>
      </c>
    </row>
    <row r="265" spans="1:1" x14ac:dyDescent="0.3">
      <c r="A265" s="496" t="s">
        <v>1559</v>
      </c>
    </row>
    <row r="266" spans="1:1" x14ac:dyDescent="0.3">
      <c r="A266" s="496" t="s">
        <v>1560</v>
      </c>
    </row>
    <row r="267" spans="1:1" x14ac:dyDescent="0.3">
      <c r="A267" s="496" t="s">
        <v>1561</v>
      </c>
    </row>
    <row r="268" spans="1:1" x14ac:dyDescent="0.3">
      <c r="A268" s="496" t="s">
        <v>1562</v>
      </c>
    </row>
    <row r="269" spans="1:1" x14ac:dyDescent="0.3">
      <c r="A269" s="496" t="s">
        <v>1563</v>
      </c>
    </row>
    <row r="270" spans="1:1" x14ac:dyDescent="0.3">
      <c r="A270" s="496" t="s">
        <v>1564</v>
      </c>
    </row>
    <row r="271" spans="1:1" x14ac:dyDescent="0.3">
      <c r="A271" s="496" t="s">
        <v>1565</v>
      </c>
    </row>
    <row r="272" spans="1:1" x14ac:dyDescent="0.3">
      <c r="A272" s="496" t="s">
        <v>1566</v>
      </c>
    </row>
    <row r="273" spans="1:1" x14ac:dyDescent="0.3">
      <c r="A273" s="496" t="s">
        <v>1567</v>
      </c>
    </row>
    <row r="274" spans="1:1" x14ac:dyDescent="0.3">
      <c r="A274" s="496" t="s">
        <v>1568</v>
      </c>
    </row>
    <row r="275" spans="1:1" x14ac:dyDescent="0.3">
      <c r="A275" s="496" t="s">
        <v>1569</v>
      </c>
    </row>
    <row r="276" spans="1:1" x14ac:dyDescent="0.3">
      <c r="A276" s="496" t="s">
        <v>1570</v>
      </c>
    </row>
    <row r="277" spans="1:1" x14ac:dyDescent="0.3">
      <c r="A277" s="496" t="s">
        <v>1571</v>
      </c>
    </row>
    <row r="278" spans="1:1" x14ac:dyDescent="0.3">
      <c r="A278" s="496" t="s">
        <v>1572</v>
      </c>
    </row>
    <row r="279" spans="1:1" x14ac:dyDescent="0.3">
      <c r="A279" s="496" t="s">
        <v>1573</v>
      </c>
    </row>
    <row r="280" spans="1:1" x14ac:dyDescent="0.3">
      <c r="A280" s="496" t="s">
        <v>1574</v>
      </c>
    </row>
    <row r="281" spans="1:1" x14ac:dyDescent="0.3">
      <c r="A281" s="496" t="s">
        <v>1575</v>
      </c>
    </row>
    <row r="282" spans="1:1" x14ac:dyDescent="0.3">
      <c r="A282" s="496" t="s">
        <v>1576</v>
      </c>
    </row>
    <row r="283" spans="1:1" x14ac:dyDescent="0.3">
      <c r="A283" s="496" t="s">
        <v>1577</v>
      </c>
    </row>
    <row r="284" spans="1:1" x14ac:dyDescent="0.3">
      <c r="A284" s="496" t="s">
        <v>1578</v>
      </c>
    </row>
    <row r="285" spans="1:1" x14ac:dyDescent="0.3">
      <c r="A285" s="496" t="s">
        <v>1579</v>
      </c>
    </row>
    <row r="286" spans="1:1" x14ac:dyDescent="0.3">
      <c r="A286" s="496" t="s">
        <v>1580</v>
      </c>
    </row>
    <row r="287" spans="1:1" x14ac:dyDescent="0.3">
      <c r="A287" s="496" t="s">
        <v>1581</v>
      </c>
    </row>
    <row r="288" spans="1:1" x14ac:dyDescent="0.3">
      <c r="A288" s="496" t="s">
        <v>1582</v>
      </c>
    </row>
    <row r="289" spans="1:1" x14ac:dyDescent="0.3">
      <c r="A289" s="496" t="s">
        <v>1583</v>
      </c>
    </row>
    <row r="290" spans="1:1" x14ac:dyDescent="0.3">
      <c r="A290" s="496" t="s">
        <v>1584</v>
      </c>
    </row>
    <row r="291" spans="1:1" x14ac:dyDescent="0.3">
      <c r="A291" s="496" t="s">
        <v>1585</v>
      </c>
    </row>
    <row r="292" spans="1:1" x14ac:dyDescent="0.3">
      <c r="A292" s="496" t="s">
        <v>1586</v>
      </c>
    </row>
    <row r="293" spans="1:1" x14ac:dyDescent="0.3">
      <c r="A293" s="496" t="s">
        <v>1587</v>
      </c>
    </row>
    <row r="294" spans="1:1" x14ac:dyDescent="0.3">
      <c r="A294" s="496" t="s">
        <v>1588</v>
      </c>
    </row>
    <row r="295" spans="1:1" x14ac:dyDescent="0.3">
      <c r="A295" s="496" t="s">
        <v>1589</v>
      </c>
    </row>
    <row r="296" spans="1:1" x14ac:dyDescent="0.3">
      <c r="A296" s="496" t="s">
        <v>1590</v>
      </c>
    </row>
    <row r="297" spans="1:1" x14ac:dyDescent="0.3">
      <c r="A297" s="496" t="s">
        <v>1591</v>
      </c>
    </row>
    <row r="298" spans="1:1" x14ac:dyDescent="0.3">
      <c r="A298" s="496" t="s">
        <v>1592</v>
      </c>
    </row>
    <row r="299" spans="1:1" x14ac:dyDescent="0.3">
      <c r="A299" s="496" t="s">
        <v>1593</v>
      </c>
    </row>
    <row r="300" spans="1:1" x14ac:dyDescent="0.3">
      <c r="A300" s="496" t="s">
        <v>1594</v>
      </c>
    </row>
    <row r="301" spans="1:1" x14ac:dyDescent="0.3">
      <c r="A301" s="496" t="s">
        <v>1595</v>
      </c>
    </row>
    <row r="302" spans="1:1" x14ac:dyDescent="0.3">
      <c r="A302" s="496" t="s">
        <v>1596</v>
      </c>
    </row>
    <row r="303" spans="1:1" x14ac:dyDescent="0.3">
      <c r="A303" s="496" t="s">
        <v>1597</v>
      </c>
    </row>
    <row r="304" spans="1:1" x14ac:dyDescent="0.3">
      <c r="A304" s="496" t="s">
        <v>1598</v>
      </c>
    </row>
    <row r="305" spans="1:1" x14ac:dyDescent="0.3">
      <c r="A305" s="496" t="s">
        <v>1599</v>
      </c>
    </row>
    <row r="306" spans="1:1" x14ac:dyDescent="0.3">
      <c r="A306" s="496" t="s">
        <v>1600</v>
      </c>
    </row>
    <row r="307" spans="1:1" x14ac:dyDescent="0.3">
      <c r="A307" s="496" t="s">
        <v>1601</v>
      </c>
    </row>
    <row r="308" spans="1:1" x14ac:dyDescent="0.3">
      <c r="A308" s="496" t="s">
        <v>1602</v>
      </c>
    </row>
    <row r="309" spans="1:1" x14ac:dyDescent="0.3">
      <c r="A309" s="496" t="s">
        <v>1603</v>
      </c>
    </row>
    <row r="310" spans="1:1" x14ac:dyDescent="0.3">
      <c r="A310" s="496" t="s">
        <v>1604</v>
      </c>
    </row>
    <row r="311" spans="1:1" x14ac:dyDescent="0.3">
      <c r="A311" s="496" t="s">
        <v>1605</v>
      </c>
    </row>
    <row r="312" spans="1:1" x14ac:dyDescent="0.3">
      <c r="A312" s="496" t="s">
        <v>1606</v>
      </c>
    </row>
    <row r="313" spans="1:1" x14ac:dyDescent="0.3">
      <c r="A313" s="496" t="s">
        <v>1607</v>
      </c>
    </row>
    <row r="314" spans="1:1" x14ac:dyDescent="0.3">
      <c r="A314" s="496" t="s">
        <v>1608</v>
      </c>
    </row>
    <row r="315" spans="1:1" x14ac:dyDescent="0.3">
      <c r="A315" s="496" t="s">
        <v>1609</v>
      </c>
    </row>
    <row r="316" spans="1:1" x14ac:dyDescent="0.3">
      <c r="A316" s="496" t="s">
        <v>1610</v>
      </c>
    </row>
    <row r="317" spans="1:1" x14ac:dyDescent="0.3">
      <c r="A317" s="496" t="s">
        <v>1611</v>
      </c>
    </row>
    <row r="318" spans="1:1" x14ac:dyDescent="0.3">
      <c r="A318" s="496" t="s">
        <v>1612</v>
      </c>
    </row>
    <row r="319" spans="1:1" x14ac:dyDescent="0.3">
      <c r="A319" s="496" t="s">
        <v>1613</v>
      </c>
    </row>
    <row r="320" spans="1:1" x14ac:dyDescent="0.3">
      <c r="A320" s="496" t="s">
        <v>1614</v>
      </c>
    </row>
    <row r="321" spans="1:1" x14ac:dyDescent="0.3">
      <c r="A321" s="496" t="s">
        <v>1615</v>
      </c>
    </row>
    <row r="322" spans="1:1" x14ac:dyDescent="0.3">
      <c r="A322" s="496" t="s">
        <v>1616</v>
      </c>
    </row>
    <row r="323" spans="1:1" x14ac:dyDescent="0.3">
      <c r="A323" s="496" t="s">
        <v>1617</v>
      </c>
    </row>
    <row r="324" spans="1:1" x14ac:dyDescent="0.3">
      <c r="A324" s="496" t="s">
        <v>1618</v>
      </c>
    </row>
    <row r="325" spans="1:1" x14ac:dyDescent="0.3">
      <c r="A325" s="496" t="s">
        <v>1619</v>
      </c>
    </row>
    <row r="326" spans="1:1" x14ac:dyDescent="0.3">
      <c r="A326" s="496" t="s">
        <v>1620</v>
      </c>
    </row>
    <row r="327" spans="1:1" x14ac:dyDescent="0.3">
      <c r="A327" s="496" t="s">
        <v>1621</v>
      </c>
    </row>
    <row r="328" spans="1:1" x14ac:dyDescent="0.3">
      <c r="A328" s="496" t="s">
        <v>1622</v>
      </c>
    </row>
    <row r="329" spans="1:1" x14ac:dyDescent="0.3">
      <c r="A329" s="496" t="s">
        <v>1623</v>
      </c>
    </row>
    <row r="330" spans="1:1" x14ac:dyDescent="0.3">
      <c r="A330" s="496" t="s">
        <v>1624</v>
      </c>
    </row>
    <row r="331" spans="1:1" x14ac:dyDescent="0.3">
      <c r="A331" s="496" t="s">
        <v>1625</v>
      </c>
    </row>
    <row r="332" spans="1:1" x14ac:dyDescent="0.3">
      <c r="A332" s="496" t="s">
        <v>1626</v>
      </c>
    </row>
    <row r="333" spans="1:1" x14ac:dyDescent="0.3">
      <c r="A333" s="496" t="s">
        <v>1627</v>
      </c>
    </row>
    <row r="334" spans="1:1" x14ac:dyDescent="0.3">
      <c r="A334" s="496" t="s">
        <v>1628</v>
      </c>
    </row>
    <row r="335" spans="1:1" x14ac:dyDescent="0.3">
      <c r="A335" s="496" t="s">
        <v>1629</v>
      </c>
    </row>
    <row r="336" spans="1:1" x14ac:dyDescent="0.3">
      <c r="A336" s="496" t="s">
        <v>1630</v>
      </c>
    </row>
    <row r="337" spans="1:1" x14ac:dyDescent="0.3">
      <c r="A337" s="496" t="s">
        <v>1631</v>
      </c>
    </row>
    <row r="338" spans="1:1" x14ac:dyDescent="0.3">
      <c r="A338" s="496" t="s">
        <v>1632</v>
      </c>
    </row>
    <row r="339" spans="1:1" x14ac:dyDescent="0.3">
      <c r="A339" s="496" t="s">
        <v>1633</v>
      </c>
    </row>
    <row r="340" spans="1:1" x14ac:dyDescent="0.3">
      <c r="A340" s="496" t="s">
        <v>1634</v>
      </c>
    </row>
    <row r="341" spans="1:1" x14ac:dyDescent="0.3">
      <c r="A341" s="496" t="s">
        <v>1635</v>
      </c>
    </row>
    <row r="342" spans="1:1" x14ac:dyDescent="0.3">
      <c r="A342" s="496" t="s">
        <v>1636</v>
      </c>
    </row>
    <row r="343" spans="1:1" x14ac:dyDescent="0.3">
      <c r="A343" s="496" t="s">
        <v>1637</v>
      </c>
    </row>
    <row r="344" spans="1:1" x14ac:dyDescent="0.3">
      <c r="A344" s="496" t="s">
        <v>1638</v>
      </c>
    </row>
    <row r="345" spans="1:1" x14ac:dyDescent="0.3">
      <c r="A345" s="496" t="s">
        <v>1639</v>
      </c>
    </row>
    <row r="346" spans="1:1" x14ac:dyDescent="0.3">
      <c r="A346" s="496" t="s">
        <v>1640</v>
      </c>
    </row>
    <row r="347" spans="1:1" x14ac:dyDescent="0.3">
      <c r="A347" s="496" t="s">
        <v>1641</v>
      </c>
    </row>
    <row r="348" spans="1:1" x14ac:dyDescent="0.3">
      <c r="A348" s="496" t="s">
        <v>1642</v>
      </c>
    </row>
    <row r="349" spans="1:1" x14ac:dyDescent="0.3">
      <c r="A349" s="496" t="s">
        <v>1643</v>
      </c>
    </row>
    <row r="350" spans="1:1" x14ac:dyDescent="0.3">
      <c r="A350" s="496" t="s">
        <v>1644</v>
      </c>
    </row>
    <row r="351" spans="1:1" x14ac:dyDescent="0.3">
      <c r="A351" s="496" t="s">
        <v>1645</v>
      </c>
    </row>
    <row r="352" spans="1:1" x14ac:dyDescent="0.3">
      <c r="A352" s="496" t="s">
        <v>1646</v>
      </c>
    </row>
    <row r="353" spans="1:1" x14ac:dyDescent="0.3">
      <c r="A353" s="496" t="s">
        <v>1647</v>
      </c>
    </row>
    <row r="354" spans="1:1" x14ac:dyDescent="0.3">
      <c r="A354" s="496" t="s">
        <v>1648</v>
      </c>
    </row>
    <row r="355" spans="1:1" x14ac:dyDescent="0.3">
      <c r="A355" s="496" t="s">
        <v>1649</v>
      </c>
    </row>
    <row r="356" spans="1:1" x14ac:dyDescent="0.3">
      <c r="A356" s="496" t="s">
        <v>1650</v>
      </c>
    </row>
    <row r="357" spans="1:1" x14ac:dyDescent="0.3">
      <c r="A357" s="496" t="s">
        <v>1651</v>
      </c>
    </row>
    <row r="358" spans="1:1" x14ac:dyDescent="0.3">
      <c r="A358" s="496" t="s">
        <v>1652</v>
      </c>
    </row>
    <row r="359" spans="1:1" x14ac:dyDescent="0.3">
      <c r="A359" s="496" t="s">
        <v>1653</v>
      </c>
    </row>
    <row r="360" spans="1:1" x14ac:dyDescent="0.3">
      <c r="A360" s="496" t="s">
        <v>1654</v>
      </c>
    </row>
    <row r="361" spans="1:1" x14ac:dyDescent="0.3">
      <c r="A361" s="496" t="s">
        <v>1655</v>
      </c>
    </row>
    <row r="362" spans="1:1" x14ac:dyDescent="0.3">
      <c r="A362" s="496" t="s">
        <v>1656</v>
      </c>
    </row>
    <row r="363" spans="1:1" x14ac:dyDescent="0.3">
      <c r="A363" s="496" t="s">
        <v>1657</v>
      </c>
    </row>
    <row r="364" spans="1:1" x14ac:dyDescent="0.3">
      <c r="A364" s="496" t="s">
        <v>1658</v>
      </c>
    </row>
    <row r="365" spans="1:1" x14ac:dyDescent="0.3">
      <c r="A365" s="496" t="s">
        <v>1659</v>
      </c>
    </row>
    <row r="366" spans="1:1" x14ac:dyDescent="0.3">
      <c r="A366" s="496" t="s">
        <v>1660</v>
      </c>
    </row>
    <row r="367" spans="1:1" x14ac:dyDescent="0.3">
      <c r="A367" s="496" t="s">
        <v>1661</v>
      </c>
    </row>
    <row r="368" spans="1:1" x14ac:dyDescent="0.3">
      <c r="A368" s="496" t="s">
        <v>1662</v>
      </c>
    </row>
    <row r="369" spans="1:1" x14ac:dyDescent="0.3">
      <c r="A369" s="496" t="s">
        <v>1663</v>
      </c>
    </row>
    <row r="370" spans="1:1" x14ac:dyDescent="0.3">
      <c r="A370" s="496" t="s">
        <v>1664</v>
      </c>
    </row>
    <row r="371" spans="1:1" x14ac:dyDescent="0.3">
      <c r="A371" s="496" t="s">
        <v>1665</v>
      </c>
    </row>
    <row r="372" spans="1:1" x14ac:dyDescent="0.3">
      <c r="A372" s="496" t="s">
        <v>1666</v>
      </c>
    </row>
    <row r="373" spans="1:1" x14ac:dyDescent="0.3">
      <c r="A373" s="496" t="s">
        <v>1667</v>
      </c>
    </row>
    <row r="374" spans="1:1" x14ac:dyDescent="0.3">
      <c r="A374" s="496" t="s">
        <v>1668</v>
      </c>
    </row>
    <row r="375" spans="1:1" x14ac:dyDescent="0.3">
      <c r="A375" s="496" t="s">
        <v>1669</v>
      </c>
    </row>
    <row r="376" spans="1:1" x14ac:dyDescent="0.3">
      <c r="A376" s="496" t="s">
        <v>1670</v>
      </c>
    </row>
    <row r="377" spans="1:1" x14ac:dyDescent="0.3">
      <c r="A377" s="496" t="s">
        <v>1671</v>
      </c>
    </row>
    <row r="378" spans="1:1" x14ac:dyDescent="0.3">
      <c r="A378" s="496" t="s">
        <v>1672</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7">
    <tabColor theme="0" tint="-0.249977111117893"/>
    <pageSetUpPr autoPageBreaks="0"/>
  </sheetPr>
  <dimension ref="A1:AE53"/>
  <sheetViews>
    <sheetView showGridLines="0" showRowColHeaders="0" zoomScale="80" zoomScaleNormal="80" workbookViewId="0"/>
  </sheetViews>
  <sheetFormatPr defaultColWidth="0" defaultRowHeight="0" customHeight="1" zeroHeight="1" x14ac:dyDescent="0.3"/>
  <cols>
    <col min="1" max="3" width="2.21875" style="1" customWidth="1"/>
    <col min="4" max="4" width="18.77734375" style="1" customWidth="1"/>
    <col min="5" max="8" width="9.21875" style="1" customWidth="1"/>
    <col min="9" max="9" width="7" style="1" customWidth="1"/>
    <col min="10" max="12" width="9.21875" style="1" customWidth="1"/>
    <col min="13" max="13" width="12.21875" style="1" customWidth="1"/>
    <col min="14" max="14" width="5.77734375" style="1" customWidth="1"/>
    <col min="15" max="15" width="9.21875" style="1" customWidth="1"/>
    <col min="16" max="16" width="30" style="1" customWidth="1"/>
    <col min="17" max="17" width="13.77734375" style="1" bestFit="1" customWidth="1"/>
    <col min="18" max="18" width="12.77734375" style="1" bestFit="1" customWidth="1"/>
    <col min="19" max="19" width="9.21875" style="1" customWidth="1"/>
    <col min="20" max="20" width="12.77734375" style="1" bestFit="1" customWidth="1"/>
    <col min="21" max="21" width="8.21875" style="1" customWidth="1"/>
    <col min="22" max="22" width="12.77734375" style="1" bestFit="1" customWidth="1"/>
    <col min="23" max="23" width="9.5546875" style="1" customWidth="1"/>
    <col min="24" max="31" width="9.21875" style="1" customWidth="1"/>
    <col min="32" max="16384" width="9.21875" style="1" hidden="1"/>
  </cols>
  <sheetData>
    <row r="1" spans="1:23" ht="15.75" customHeight="1" x14ac:dyDescent="0.6">
      <c r="B1" s="2"/>
      <c r="C1" s="2"/>
      <c r="E1" s="6"/>
      <c r="F1" s="1092"/>
      <c r="G1" s="1092"/>
      <c r="H1" s="1092"/>
      <c r="I1" s="1092"/>
      <c r="J1" s="1092"/>
      <c r="K1" s="1093"/>
      <c r="L1" s="1093"/>
      <c r="M1" s="1093"/>
      <c r="N1" s="1093"/>
      <c r="O1" s="1093"/>
    </row>
    <row r="2" spans="1:23" ht="15.75" customHeight="1" x14ac:dyDescent="0.3">
      <c r="B2" s="2"/>
      <c r="C2" s="2"/>
      <c r="D2" s="1097"/>
      <c r="E2" s="1097"/>
    </row>
    <row r="3" spans="1:23" ht="15.75" customHeight="1" x14ac:dyDescent="0.6">
      <c r="A3" s="6"/>
      <c r="B3" s="6"/>
      <c r="C3" s="6"/>
      <c r="D3" s="6"/>
      <c r="E3" s="6"/>
      <c r="F3" s="7"/>
      <c r="G3" s="7"/>
      <c r="H3" s="7"/>
      <c r="I3" s="7"/>
      <c r="J3" s="7"/>
      <c r="K3" s="7"/>
      <c r="L3" s="7"/>
      <c r="M3" s="7"/>
      <c r="N3" s="7"/>
      <c r="O3" s="7"/>
      <c r="P3" s="7"/>
      <c r="Q3" s="1100" t="s">
        <v>62</v>
      </c>
      <c r="R3" s="1101"/>
      <c r="S3" s="1101"/>
    </row>
    <row r="4" spans="1:23" ht="35.25" customHeight="1" x14ac:dyDescent="0.6">
      <c r="A4" s="6"/>
      <c r="B4" s="6"/>
      <c r="C4" s="6"/>
      <c r="D4" s="6"/>
      <c r="E4" s="6"/>
      <c r="F4" s="7"/>
      <c r="G4" s="7"/>
      <c r="H4" s="7"/>
      <c r="I4" s="7"/>
      <c r="J4" s="7"/>
      <c r="K4" s="7"/>
      <c r="L4" s="7"/>
      <c r="M4" s="7"/>
      <c r="N4" s="7"/>
      <c r="O4" s="7"/>
      <c r="P4" s="7"/>
      <c r="Q4" s="1095" t="s">
        <v>63</v>
      </c>
      <c r="R4" s="1098" t="s">
        <v>64</v>
      </c>
      <c r="S4" s="1098"/>
      <c r="T4" s="1098"/>
      <c r="U4" s="1098"/>
      <c r="V4" s="1098"/>
      <c r="W4" s="1099"/>
    </row>
    <row r="5" spans="1:23" ht="16.5" customHeight="1" x14ac:dyDescent="0.6">
      <c r="A5" s="6"/>
      <c r="B5" s="6"/>
      <c r="C5" s="6"/>
      <c r="D5" s="6"/>
      <c r="E5" s="6"/>
      <c r="F5" s="4"/>
      <c r="G5" s="4"/>
      <c r="H5" s="4"/>
      <c r="I5" s="4"/>
      <c r="J5" s="4"/>
      <c r="K5" s="4"/>
      <c r="L5" s="4"/>
      <c r="M5" s="4"/>
      <c r="N5" s="4"/>
      <c r="O5" s="4"/>
      <c r="P5" s="4"/>
      <c r="Q5" s="1096"/>
      <c r="R5" s="473" t="s">
        <v>65</v>
      </c>
      <c r="S5" s="474" t="s">
        <v>66</v>
      </c>
      <c r="T5" s="475" t="s">
        <v>67</v>
      </c>
      <c r="U5" s="474" t="s">
        <v>66</v>
      </c>
      <c r="V5" s="474" t="s">
        <v>68</v>
      </c>
      <c r="W5" s="474" t="s">
        <v>66</v>
      </c>
    </row>
    <row r="6" spans="1:23" ht="16.5" customHeight="1" x14ac:dyDescent="0.6">
      <c r="B6" s="2"/>
      <c r="C6" s="2"/>
      <c r="D6" s="6"/>
      <c r="E6" s="6"/>
      <c r="F6" s="4"/>
      <c r="G6" s="4"/>
      <c r="H6" s="4"/>
      <c r="I6" s="4"/>
      <c r="J6" s="4"/>
      <c r="K6" s="4"/>
      <c r="L6" s="4"/>
      <c r="M6" s="4"/>
      <c r="N6" s="4"/>
      <c r="O6" s="4"/>
      <c r="P6" s="4"/>
      <c r="Q6" s="472" t="s">
        <v>69</v>
      </c>
      <c r="R6" s="21"/>
      <c r="S6" s="420">
        <f>R6*'G-3 Multipliers'!$Z$4</f>
        <v>0</v>
      </c>
      <c r="T6" s="21"/>
      <c r="U6" s="420">
        <f>T6*'G-3 Multipliers'!$Z$4</f>
        <v>0</v>
      </c>
      <c r="V6" s="21"/>
      <c r="W6" s="420">
        <f>V6*'G-3 Multipliers'!$Z$4</f>
        <v>0</v>
      </c>
    </row>
    <row r="7" spans="1:23" ht="16.5" customHeight="1" x14ac:dyDescent="0.6">
      <c r="B7" s="2"/>
      <c r="C7" s="6"/>
      <c r="D7" s="6"/>
      <c r="E7" s="6"/>
      <c r="F7" s="4"/>
      <c r="G7" s="4"/>
      <c r="H7" s="4"/>
      <c r="I7" s="4"/>
      <c r="J7" s="4"/>
      <c r="K7" s="4"/>
      <c r="L7" s="4"/>
      <c r="M7" s="4"/>
      <c r="N7" s="4"/>
      <c r="O7" s="4"/>
      <c r="P7" s="4"/>
      <c r="Q7" s="472" t="s">
        <v>70</v>
      </c>
      <c r="R7" s="21"/>
      <c r="S7" s="420">
        <f>R7*'G-3 Multipliers'!$Z$5</f>
        <v>0</v>
      </c>
      <c r="T7" s="21"/>
      <c r="U7" s="420">
        <f>T7*'G-3 Multipliers'!$Z$5</f>
        <v>0</v>
      </c>
      <c r="V7" s="21"/>
      <c r="W7" s="420">
        <f>V7*'G-3 Multipliers'!$Z$5</f>
        <v>0</v>
      </c>
    </row>
    <row r="8" spans="1:23" ht="18" customHeight="1" x14ac:dyDescent="0.6">
      <c r="B8" s="2"/>
      <c r="C8" s="2"/>
      <c r="D8" s="6"/>
      <c r="E8" s="6"/>
      <c r="F8" s="4"/>
      <c r="G8" s="4"/>
      <c r="H8" s="4"/>
      <c r="I8" s="4"/>
      <c r="J8" s="4"/>
      <c r="K8" s="4"/>
      <c r="L8" s="4"/>
      <c r="M8" s="4"/>
      <c r="N8" s="4"/>
      <c r="O8" s="4"/>
      <c r="P8" s="4"/>
      <c r="Q8" s="472" t="s">
        <v>71</v>
      </c>
      <c r="R8" s="21"/>
      <c r="S8" s="420">
        <f>R8*'G-3 Multipliers'!$Z$6</f>
        <v>0</v>
      </c>
      <c r="T8" s="21"/>
      <c r="U8" s="420">
        <f>T8*'G-3 Multipliers'!$Z$6</f>
        <v>0</v>
      </c>
      <c r="V8" s="21"/>
      <c r="W8" s="420">
        <f>V8*'G-3 Multipliers'!$Z$6</f>
        <v>0</v>
      </c>
    </row>
    <row r="9" spans="1:23" ht="16.5" customHeight="1" x14ac:dyDescent="0.3">
      <c r="B9" s="2"/>
      <c r="C9" s="2"/>
      <c r="D9" s="3"/>
      <c r="E9" s="3"/>
      <c r="F9" s="4"/>
      <c r="G9" s="4"/>
      <c r="H9" s="4"/>
      <c r="I9" s="4"/>
      <c r="J9" s="4"/>
      <c r="K9" s="4"/>
      <c r="L9" s="4"/>
      <c r="M9" s="4"/>
      <c r="N9" s="4"/>
      <c r="O9" s="4"/>
      <c r="P9" s="4"/>
      <c r="Q9" s="472" t="s">
        <v>72</v>
      </c>
      <c r="R9" s="491">
        <f t="shared" ref="R9:W9" si="0">SUM(R6:R8)</f>
        <v>0</v>
      </c>
      <c r="S9" s="419">
        <f t="shared" si="0"/>
        <v>0</v>
      </c>
      <c r="T9" s="491">
        <f t="shared" si="0"/>
        <v>0</v>
      </c>
      <c r="U9" s="419">
        <f t="shared" si="0"/>
        <v>0</v>
      </c>
      <c r="V9" s="491">
        <f t="shared" si="0"/>
        <v>0</v>
      </c>
      <c r="W9" s="419">
        <f t="shared" si="0"/>
        <v>0</v>
      </c>
    </row>
    <row r="10" spans="1:23" ht="30" customHeight="1" x14ac:dyDescent="0.4">
      <c r="B10" s="2"/>
      <c r="C10" s="2"/>
      <c r="D10" s="5"/>
      <c r="E10" s="5"/>
      <c r="F10" s="1094"/>
      <c r="G10" s="1094"/>
      <c r="H10" s="1094"/>
      <c r="I10" s="1094"/>
      <c r="J10" s="1094"/>
      <c r="K10" s="1094"/>
      <c r="L10" s="1094"/>
      <c r="M10" s="1094"/>
      <c r="N10" s="1094"/>
      <c r="O10" s="1094"/>
      <c r="P10" s="1094"/>
    </row>
    <row r="11" spans="1:23" ht="16.5" customHeight="1" x14ac:dyDescent="0.3">
      <c r="B11" s="2"/>
      <c r="C11" s="2"/>
    </row>
    <row r="12" spans="1:23" ht="16.5" customHeight="1" x14ac:dyDescent="0.3">
      <c r="B12" s="2"/>
      <c r="C12" s="2"/>
    </row>
    <row r="13" spans="1:23" ht="16.5" customHeight="1" x14ac:dyDescent="0.3">
      <c r="B13" s="2"/>
      <c r="C13" s="2"/>
    </row>
    <row r="14" spans="1:23" ht="16.5" customHeight="1" x14ac:dyDescent="0.3">
      <c r="B14" s="2"/>
      <c r="C14" s="2"/>
    </row>
    <row r="15" spans="1:23" ht="16.5" customHeight="1" x14ac:dyDescent="0.3">
      <c r="B15" s="2"/>
      <c r="C15" s="2"/>
    </row>
    <row r="16" spans="1:23" ht="16.5" customHeight="1" x14ac:dyDescent="0.3"/>
    <row r="17" ht="16.5" customHeight="1" x14ac:dyDescent="0.3"/>
    <row r="18" ht="16.5" customHeight="1" x14ac:dyDescent="0.3"/>
    <row r="19" ht="16.5" customHeight="1" x14ac:dyDescent="0.3"/>
    <row r="20" ht="16.5" customHeight="1" x14ac:dyDescent="0.3"/>
    <row r="21" ht="16.5" customHeight="1" x14ac:dyDescent="0.3"/>
    <row r="22" ht="16.5" customHeight="1" x14ac:dyDescent="0.3"/>
    <row r="23" ht="16.5" customHeight="1" x14ac:dyDescent="0.3"/>
    <row r="24" ht="16.5" customHeight="1" x14ac:dyDescent="0.3"/>
    <row r="25" ht="16.5" customHeight="1" x14ac:dyDescent="0.3"/>
    <row r="26" ht="16.5" customHeight="1" x14ac:dyDescent="0.3"/>
    <row r="27" ht="14.4" x14ac:dyDescent="0.3"/>
    <row r="28" ht="14.4" x14ac:dyDescent="0.3"/>
    <row r="29" ht="14.4" x14ac:dyDescent="0.3"/>
    <row r="30" ht="14.4" x14ac:dyDescent="0.3"/>
    <row r="31" ht="14.4" x14ac:dyDescent="0.3"/>
    <row r="32" ht="14.4" x14ac:dyDescent="0.3"/>
    <row r="33" ht="14.4" x14ac:dyDescent="0.3"/>
    <row r="34" ht="14.4" x14ac:dyDescent="0.3"/>
    <row r="35" ht="14.4" x14ac:dyDescent="0.3"/>
    <row r="36" ht="14.4" x14ac:dyDescent="0.3"/>
    <row r="37" ht="14.4" x14ac:dyDescent="0.3"/>
    <row r="38" ht="14.4" x14ac:dyDescent="0.3"/>
    <row r="39" ht="89.55" customHeight="1"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8.600000000000001" customHeight="1" x14ac:dyDescent="0.3"/>
    <row r="53" ht="14.4" hidden="1" x14ac:dyDescent="0.3"/>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R4:W4"/>
    <mergeCell ref="Q3:S3"/>
    <mergeCell ref="F1:J1"/>
    <mergeCell ref="K1:O1"/>
    <mergeCell ref="F10:P10"/>
    <mergeCell ref="Q4:Q5"/>
    <mergeCell ref="D2:E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6">
    <tabColor rgb="FFF4D4D4"/>
  </sheetPr>
  <dimension ref="A1:AE53"/>
  <sheetViews>
    <sheetView showGridLines="0" showRowColHeaders="0" zoomScale="80" zoomScaleNormal="80" workbookViewId="0"/>
  </sheetViews>
  <sheetFormatPr defaultColWidth="0" defaultRowHeight="0" customHeight="1" zeroHeight="1" x14ac:dyDescent="0.25"/>
  <cols>
    <col min="1" max="3" width="2.21875" style="203" customWidth="1"/>
    <col min="4" max="4" width="18.77734375" style="203" customWidth="1"/>
    <col min="5" max="8" width="9.21875" style="203" customWidth="1"/>
    <col min="9" max="9" width="7" style="203" customWidth="1"/>
    <col min="10" max="12" width="9.21875" style="203" customWidth="1"/>
    <col min="13" max="13" width="12.21875" style="203" customWidth="1"/>
    <col min="14" max="14" width="5.77734375" style="203" customWidth="1"/>
    <col min="15" max="15" width="9.21875" style="203" customWidth="1"/>
    <col min="16" max="16" width="34.5546875" style="203" customWidth="1"/>
    <col min="17" max="17" width="13.77734375" style="203" bestFit="1" customWidth="1"/>
    <col min="18" max="18" width="19.21875" style="203" customWidth="1"/>
    <col min="19" max="31" width="9.21875" style="203" customWidth="1"/>
    <col min="32" max="16384" width="9.21875" style="203" hidden="1"/>
  </cols>
  <sheetData>
    <row r="1" spans="1:18" ht="15.75" customHeight="1" x14ac:dyDescent="0.5">
      <c r="B1" s="204"/>
      <c r="C1" s="204"/>
      <c r="E1" s="205"/>
      <c r="F1" s="1102"/>
      <c r="G1" s="1102"/>
      <c r="H1" s="1102"/>
      <c r="I1" s="1102"/>
      <c r="J1" s="1102"/>
      <c r="K1" s="1103"/>
      <c r="L1" s="1103"/>
      <c r="M1" s="1103"/>
      <c r="N1" s="1103"/>
      <c r="O1" s="1103"/>
    </row>
    <row r="2" spans="1:18" ht="15.75" customHeight="1" x14ac:dyDescent="0.5">
      <c r="B2" s="204"/>
      <c r="C2" s="204"/>
      <c r="E2" s="205"/>
    </row>
    <row r="3" spans="1:18" ht="15.75" customHeight="1" x14ac:dyDescent="0.5">
      <c r="A3" s="205"/>
      <c r="B3" s="205"/>
      <c r="C3" s="205"/>
      <c r="D3" s="205"/>
      <c r="E3" s="205"/>
      <c r="F3" s="206"/>
      <c r="G3" s="206"/>
      <c r="H3" s="206"/>
      <c r="I3" s="206"/>
      <c r="J3" s="206"/>
      <c r="K3" s="206"/>
      <c r="L3" s="206"/>
      <c r="M3" s="206"/>
      <c r="N3" s="206"/>
      <c r="O3" s="206"/>
      <c r="P3" s="206"/>
    </row>
    <row r="4" spans="1:18" ht="16.5" customHeight="1" x14ac:dyDescent="0.5">
      <c r="A4" s="205"/>
      <c r="B4" s="205"/>
      <c r="C4" s="205"/>
      <c r="D4" s="205"/>
      <c r="E4" s="205"/>
      <c r="F4" s="206"/>
      <c r="G4" s="206"/>
      <c r="H4" s="206"/>
      <c r="I4" s="206"/>
      <c r="J4" s="206"/>
      <c r="K4" s="206"/>
      <c r="L4" s="206"/>
      <c r="M4" s="206"/>
      <c r="N4" s="206"/>
      <c r="O4" s="206"/>
      <c r="P4" s="206"/>
    </row>
    <row r="5" spans="1:18" ht="16.5" customHeight="1" x14ac:dyDescent="0.5">
      <c r="A5" s="205"/>
      <c r="B5" s="205"/>
      <c r="C5" s="205"/>
      <c r="D5" s="205"/>
      <c r="E5" s="205"/>
      <c r="F5" s="207"/>
      <c r="G5" s="207"/>
      <c r="H5" s="207"/>
      <c r="I5" s="207"/>
      <c r="J5" s="207"/>
      <c r="K5" s="207"/>
      <c r="L5" s="207"/>
      <c r="M5" s="207"/>
      <c r="N5" s="207"/>
      <c r="O5" s="207"/>
      <c r="P5" s="207"/>
      <c r="Q5" s="207"/>
      <c r="R5" s="207"/>
    </row>
    <row r="6" spans="1:18" ht="16.5" customHeight="1" x14ac:dyDescent="0.5">
      <c r="B6" s="204"/>
      <c r="C6" s="204"/>
      <c r="D6" s="205"/>
      <c r="E6" s="205"/>
      <c r="F6" s="207"/>
      <c r="G6" s="207"/>
      <c r="H6" s="207"/>
      <c r="I6" s="207"/>
      <c r="J6" s="207"/>
      <c r="K6" s="207"/>
      <c r="L6" s="207"/>
      <c r="M6" s="207"/>
      <c r="N6" s="207"/>
      <c r="O6" s="207"/>
      <c r="P6" s="207"/>
      <c r="Q6" s="207"/>
      <c r="R6" s="207"/>
    </row>
    <row r="7" spans="1:18" ht="16.5" customHeight="1" x14ac:dyDescent="0.5">
      <c r="B7" s="204"/>
      <c r="C7" s="205"/>
      <c r="D7" s="205"/>
      <c r="E7" s="205"/>
      <c r="F7" s="207"/>
      <c r="G7" s="207"/>
      <c r="H7" s="207"/>
      <c r="I7" s="207"/>
      <c r="J7" s="207"/>
      <c r="K7" s="207"/>
      <c r="L7" s="207"/>
      <c r="M7" s="207"/>
      <c r="N7" s="207"/>
      <c r="O7" s="207"/>
      <c r="P7" s="207"/>
      <c r="Q7" s="207"/>
      <c r="R7" s="207"/>
    </row>
    <row r="8" spans="1:18" ht="16.5" customHeight="1" x14ac:dyDescent="0.5">
      <c r="B8" s="204"/>
      <c r="C8" s="204"/>
      <c r="D8" s="205"/>
      <c r="E8" s="205"/>
      <c r="F8" s="207"/>
      <c r="G8" s="207"/>
      <c r="H8" s="207"/>
      <c r="I8" s="207"/>
      <c r="J8" s="207"/>
      <c r="K8" s="207"/>
      <c r="L8" s="207"/>
      <c r="M8" s="207"/>
      <c r="N8" s="207"/>
      <c r="O8" s="207"/>
      <c r="P8" s="207"/>
      <c r="Q8" s="207"/>
      <c r="R8" s="207"/>
    </row>
    <row r="9" spans="1:18" ht="16.5" customHeight="1" x14ac:dyDescent="0.25">
      <c r="B9" s="204"/>
      <c r="C9" s="204"/>
      <c r="D9" s="208"/>
      <c r="E9" s="208"/>
      <c r="F9" s="207"/>
      <c r="G9" s="207"/>
      <c r="H9" s="207"/>
      <c r="I9" s="207"/>
      <c r="J9" s="207"/>
      <c r="K9" s="207"/>
      <c r="L9" s="207"/>
      <c r="M9" s="207"/>
      <c r="N9" s="207"/>
      <c r="O9" s="207"/>
      <c r="P9" s="207"/>
      <c r="Q9" s="207"/>
      <c r="R9" s="207"/>
    </row>
    <row r="10" spans="1:18" ht="30" customHeight="1" x14ac:dyDescent="0.35">
      <c r="B10" s="204"/>
      <c r="C10" s="204"/>
      <c r="D10" s="1104"/>
      <c r="E10" s="1104"/>
      <c r="F10" s="1104"/>
      <c r="G10" s="1104"/>
      <c r="H10" s="1104"/>
      <c r="I10" s="1104"/>
      <c r="J10" s="1104"/>
      <c r="K10" s="1104"/>
      <c r="L10" s="1104"/>
      <c r="M10" s="1104"/>
    </row>
    <row r="11" spans="1:18" ht="16.5" customHeight="1" x14ac:dyDescent="0.25">
      <c r="B11" s="204"/>
      <c r="C11" s="204"/>
    </row>
    <row r="12" spans="1:18" ht="16.5" customHeight="1" x14ac:dyDescent="0.25">
      <c r="B12" s="204"/>
      <c r="C12" s="204"/>
    </row>
    <row r="13" spans="1:18" ht="16.5" customHeight="1" x14ac:dyDescent="0.25">
      <c r="B13" s="204"/>
      <c r="C13" s="204"/>
    </row>
    <row r="14" spans="1:18" ht="16.5" customHeight="1" x14ac:dyDescent="0.25">
      <c r="B14" s="204"/>
      <c r="C14" s="204"/>
    </row>
    <row r="15" spans="1:18" ht="16.5" customHeight="1" x14ac:dyDescent="0.25">
      <c r="B15" s="204"/>
      <c r="C15" s="204"/>
    </row>
    <row r="16" spans="1:1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3.8" x14ac:dyDescent="0.25"/>
    <row r="28" ht="13.8" x14ac:dyDescent="0.25"/>
    <row r="29" ht="13.8" x14ac:dyDescent="0.25"/>
    <row r="30" ht="13.8" x14ac:dyDescent="0.25"/>
    <row r="31" ht="13.8" x14ac:dyDescent="0.25"/>
    <row r="32" ht="13.8" x14ac:dyDescent="0.25"/>
    <row r="33" ht="13.8" x14ac:dyDescent="0.25"/>
    <row r="34" ht="13.8" x14ac:dyDescent="0.25"/>
    <row r="35" ht="13.8" x14ac:dyDescent="0.25"/>
    <row r="36" ht="13.8" x14ac:dyDescent="0.25"/>
    <row r="37" ht="13.8" x14ac:dyDescent="0.25"/>
    <row r="38" ht="13.8" x14ac:dyDescent="0.25"/>
    <row r="39" ht="13.8" x14ac:dyDescent="0.25"/>
    <row r="40" ht="13.8" x14ac:dyDescent="0.25"/>
    <row r="41" ht="13.8" x14ac:dyDescent="0.25"/>
    <row r="42" ht="13.8" x14ac:dyDescent="0.25"/>
    <row r="43" ht="13.8" x14ac:dyDescent="0.25"/>
    <row r="44" ht="13.8" x14ac:dyDescent="0.25"/>
    <row r="45" ht="13.8" x14ac:dyDescent="0.25"/>
    <row r="46" ht="13.8" x14ac:dyDescent="0.25"/>
    <row r="47" ht="13.8" x14ac:dyDescent="0.25"/>
    <row r="48" ht="13.8" x14ac:dyDescent="0.25"/>
    <row r="49" ht="13.8" x14ac:dyDescent="0.25"/>
    <row r="50" ht="13.8" x14ac:dyDescent="0.25"/>
    <row r="51" ht="13.8" x14ac:dyDescent="0.25"/>
    <row r="52" ht="13.8" x14ac:dyDescent="0.25"/>
    <row r="53" ht="13.8" hidden="1" x14ac:dyDescent="0.25"/>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tabColor rgb="FFF4D4D4"/>
  </sheetPr>
  <dimension ref="A1:XFC129"/>
  <sheetViews>
    <sheetView showGridLines="0" showRowColHeaders="0" topLeftCell="A43" zoomScale="80" zoomScaleNormal="80" workbookViewId="0">
      <selection activeCell="B45" sqref="B45:I55"/>
    </sheetView>
  </sheetViews>
  <sheetFormatPr defaultColWidth="0" defaultRowHeight="13.8" zeroHeight="1" x14ac:dyDescent="0.25"/>
  <cols>
    <col min="1" max="1" width="10.77734375" style="22" customWidth="1"/>
    <col min="2" max="2" width="31.44140625" style="22" customWidth="1"/>
    <col min="3" max="3" width="13.77734375" style="22" customWidth="1"/>
    <col min="4" max="4" width="13.44140625" style="22" customWidth="1"/>
    <col min="5" max="5" width="36.5546875" style="22" customWidth="1"/>
    <col min="6" max="7" width="11.77734375" style="22" customWidth="1"/>
    <col min="8" max="8" width="13.21875" style="22" customWidth="1"/>
    <col min="9" max="9" width="11.77734375" style="22" customWidth="1"/>
    <col min="10" max="10" width="23.21875" style="22" customWidth="1"/>
    <col min="11" max="11" width="50.77734375" style="22" customWidth="1"/>
    <col min="12" max="12" width="15.5546875" style="22" hidden="1"/>
    <col min="13" max="13" width="40.5546875" style="22" hidden="1"/>
    <col min="14" max="14" width="13.5546875" style="22" hidden="1"/>
    <col min="15" max="16383" width="8.77734375" style="22" hidden="1"/>
    <col min="16384" max="16384" width="22.5546875" style="22" hidden="1"/>
  </cols>
  <sheetData>
    <row r="1" spans="2:22" ht="15.75" customHeight="1" thickBot="1" x14ac:dyDescent="0.3"/>
    <row r="2" spans="2:22" ht="19.2" customHeight="1" thickBot="1" x14ac:dyDescent="0.3">
      <c r="B2" s="1191" t="str">
        <f>IF(Start!$F$12="","",Start!$F$12)</f>
        <v>Grove Farm Solar</v>
      </c>
      <c r="C2" s="1192"/>
      <c r="D2" s="1193"/>
      <c r="F2" s="1181"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81"/>
      <c r="H2" s="1181"/>
      <c r="I2" s="1181"/>
    </row>
    <row r="3" spans="2:22" ht="15.75" customHeight="1" x14ac:dyDescent="0.25">
      <c r="B3" s="1185" t="str">
        <f ca="1">MID(CELL("filename",A1),FIND("]",CELL("filename",A1))+1,256)</f>
        <v>Headline Results</v>
      </c>
      <c r="C3" s="1186"/>
      <c r="D3" s="1187"/>
      <c r="F3" s="1181"/>
      <c r="G3" s="1181"/>
      <c r="H3" s="1181"/>
      <c r="I3" s="1181"/>
    </row>
    <row r="4" spans="2:22" ht="15.75" customHeight="1" thickBot="1" x14ac:dyDescent="0.3">
      <c r="B4" s="1188"/>
      <c r="C4" s="1189"/>
      <c r="D4" s="1190"/>
      <c r="F4" s="1181"/>
      <c r="G4" s="1181"/>
      <c r="H4" s="1181"/>
      <c r="I4" s="1181"/>
    </row>
    <row r="5" spans="2:22" ht="10.050000000000001" customHeight="1" x14ac:dyDescent="0.25">
      <c r="B5" s="1105" t="s">
        <v>73</v>
      </c>
      <c r="C5" s="1106"/>
      <c r="D5" s="1107"/>
      <c r="F5" s="1181"/>
      <c r="G5" s="1181"/>
      <c r="H5" s="1181"/>
      <c r="I5" s="1181"/>
    </row>
    <row r="6" spans="2:22" ht="10.050000000000001" customHeight="1" x14ac:dyDescent="0.5">
      <c r="B6" s="1108"/>
      <c r="C6" s="1109"/>
      <c r="D6" s="1110"/>
      <c r="K6" s="23"/>
      <c r="L6" s="23"/>
      <c r="M6" s="23"/>
      <c r="N6" s="23"/>
    </row>
    <row r="7" spans="2:22" ht="10.050000000000001" customHeight="1" thickBot="1" x14ac:dyDescent="0.55000000000000004">
      <c r="B7" s="1111"/>
      <c r="C7" s="1112"/>
      <c r="D7" s="1113"/>
      <c r="K7" s="23"/>
      <c r="L7" s="23"/>
      <c r="M7" s="23"/>
      <c r="N7" s="23"/>
      <c r="O7" s="24"/>
      <c r="Q7" s="24"/>
      <c r="R7" s="24"/>
    </row>
    <row r="8" spans="2:22" ht="22.05" customHeight="1" x14ac:dyDescent="0.5">
      <c r="B8" s="1134" t="s">
        <v>74</v>
      </c>
      <c r="C8" s="1135"/>
      <c r="D8" s="1135"/>
      <c r="E8" s="1135"/>
      <c r="F8" s="1129" t="s">
        <v>75</v>
      </c>
      <c r="G8" s="1130"/>
      <c r="H8" s="1194">
        <f>IFERROR('A-1 On-Site Habitat Baseline'!Q259,"Check Data ⚠")</f>
        <v>96.691999999999979</v>
      </c>
      <c r="I8" s="1195"/>
      <c r="J8" s="25"/>
      <c r="K8" s="23"/>
      <c r="L8" s="23"/>
      <c r="M8" s="23"/>
      <c r="N8" s="23"/>
      <c r="O8" s="24"/>
      <c r="P8" s="24"/>
      <c r="Q8" s="24"/>
      <c r="R8" s="24"/>
      <c r="S8" s="24"/>
    </row>
    <row r="9" spans="2:22" ht="22.05" customHeight="1" x14ac:dyDescent="0.5">
      <c r="B9" s="1137"/>
      <c r="C9" s="1138"/>
      <c r="D9" s="1138"/>
      <c r="E9" s="1138"/>
      <c r="F9" s="1131" t="s">
        <v>76</v>
      </c>
      <c r="G9" s="1132"/>
      <c r="H9" s="1182">
        <f>IFERROR('B-1 On-Site Hedge Baseline'!N258,"Check Data ⚠")</f>
        <v>16.240000000000002</v>
      </c>
      <c r="I9" s="1196"/>
      <c r="K9" s="23"/>
      <c r="L9" s="23"/>
      <c r="M9" s="23"/>
      <c r="N9" s="23"/>
    </row>
    <row r="10" spans="2:22" ht="22.05" customHeight="1" thickBot="1" x14ac:dyDescent="0.55000000000000004">
      <c r="B10" s="1140"/>
      <c r="C10" s="1141"/>
      <c r="D10" s="1141"/>
      <c r="E10" s="1141"/>
      <c r="F10" s="1127" t="s">
        <v>77</v>
      </c>
      <c r="G10" s="1128"/>
      <c r="H10" s="1168">
        <f>'C-1 On-Site WaterC'' Baseline'!R258</f>
        <v>0</v>
      </c>
      <c r="I10" s="1169"/>
      <c r="K10" s="23"/>
      <c r="L10" s="23"/>
      <c r="M10" s="23"/>
      <c r="N10" s="23"/>
    </row>
    <row r="11" spans="2:22" ht="4.5" customHeight="1" thickBot="1" x14ac:dyDescent="0.55000000000000004">
      <c r="H11" s="255"/>
      <c r="I11" s="255"/>
      <c r="K11" s="23"/>
      <c r="L11" s="23"/>
      <c r="M11" s="23"/>
      <c r="N11" s="23"/>
    </row>
    <row r="12" spans="2:22" ht="22.05" customHeight="1" x14ac:dyDescent="0.5">
      <c r="B12" s="1134" t="s">
        <v>78</v>
      </c>
      <c r="C12" s="1135"/>
      <c r="D12" s="1135"/>
      <c r="E12" s="1136"/>
      <c r="F12" s="1129" t="s">
        <v>75</v>
      </c>
      <c r="G12" s="1130"/>
      <c r="H12" s="1145">
        <f>IFERROR('A-2 On-Site Habitat Creation'!Y257+'A-3 On-Site Habitat Enhancement'!AN258+'A-1 On-Site Habitat Baseline'!U259,"Check Data ⚠")</f>
        <v>194.5894904021232</v>
      </c>
      <c r="I12" s="1146"/>
      <c r="K12" s="23"/>
      <c r="L12" s="23"/>
      <c r="M12" s="23"/>
      <c r="N12" s="23"/>
      <c r="U12" s="1166"/>
      <c r="V12" s="1166"/>
    </row>
    <row r="13" spans="2:22" ht="22.05" customHeight="1" x14ac:dyDescent="0.5">
      <c r="B13" s="1137"/>
      <c r="C13" s="1138"/>
      <c r="D13" s="1138"/>
      <c r="E13" s="1139"/>
      <c r="F13" s="1131" t="s">
        <v>76</v>
      </c>
      <c r="G13" s="1132"/>
      <c r="H13" s="1167">
        <f>IFERROR('B-2 On-Site Hedge Creation'!W260+'B-3 On-Site Hedge Enhancement'!AH258+'B-1 On-Site Hedge Baseline'!R258,"Check Data⚠")</f>
        <v>32.909627715952006</v>
      </c>
      <c r="I13" s="1165"/>
      <c r="K13" s="23"/>
      <c r="L13" s="23"/>
      <c r="M13" s="23"/>
      <c r="N13" s="23"/>
      <c r="U13" s="1166"/>
      <c r="V13" s="1166"/>
    </row>
    <row r="14" spans="2:22" ht="22.05" customHeight="1" thickBot="1" x14ac:dyDescent="0.55000000000000004">
      <c r="B14" s="1140"/>
      <c r="C14" s="1141"/>
      <c r="D14" s="1141"/>
      <c r="E14" s="1142"/>
      <c r="F14" s="1127" t="s">
        <v>77</v>
      </c>
      <c r="G14" s="1128"/>
      <c r="H14" s="1168">
        <f>IFERROR('C-2 On-Site WaterC'' Creation'!Z260 + 'C-3 On-Site WaterC'' Enhancement'!AM258+'C-1 On-Site WaterC'' Baseline'!V258,"Check Data ⚠")</f>
        <v>0</v>
      </c>
      <c r="I14" s="1169"/>
      <c r="K14" s="23"/>
      <c r="L14" s="23"/>
      <c r="M14" s="23"/>
      <c r="N14" s="23"/>
    </row>
    <row r="15" spans="2:22" ht="4.5" customHeight="1" thickBot="1" x14ac:dyDescent="0.55000000000000004">
      <c r="B15" s="334"/>
      <c r="C15" s="334"/>
      <c r="D15" s="334"/>
      <c r="E15" s="334"/>
      <c r="F15" s="335"/>
      <c r="G15" s="335"/>
      <c r="H15" s="336"/>
      <c r="I15" s="336"/>
      <c r="K15" s="556"/>
      <c r="L15" s="23"/>
      <c r="M15" s="23"/>
      <c r="N15" s="23"/>
    </row>
    <row r="16" spans="2:22" ht="22.05" customHeight="1" x14ac:dyDescent="0.5">
      <c r="B16" s="1134" t="s">
        <v>79</v>
      </c>
      <c r="C16" s="1135"/>
      <c r="D16" s="1135"/>
      <c r="E16" s="1135"/>
      <c r="F16" s="1129" t="s">
        <v>75</v>
      </c>
      <c r="G16" s="1130"/>
      <c r="H16" s="1180">
        <f>IFERROR(H12-H8, "Error ▲")</f>
        <v>97.897490402123225</v>
      </c>
      <c r="I16" s="1180"/>
      <c r="J16" s="663">
        <f>IF(AND(H8=0, H12=0),0,IF(AND(H8=0,H12&gt;0),"N/A",IFERROR((H12/H8)-1,"Check Data ⚠")))</f>
        <v>1.012467323068333</v>
      </c>
      <c r="K16" s="898" t="str">
        <f>IF(J16="N/A","Zero baseline units - % cannot be calculated",IF(OR(AND(H8=0,H12=0),J16&gt;=Start!$F$22)," ","On-site net gain is less than target set ⚠"))</f>
        <v xml:space="preserve"> </v>
      </c>
      <c r="L16" s="23"/>
      <c r="M16" s="23"/>
      <c r="N16" s="23"/>
    </row>
    <row r="17" spans="2:14" ht="22.05" customHeight="1" x14ac:dyDescent="0.5">
      <c r="B17" s="1137"/>
      <c r="C17" s="1138"/>
      <c r="D17" s="1138"/>
      <c r="E17" s="1138"/>
      <c r="F17" s="1131" t="s">
        <v>76</v>
      </c>
      <c r="G17" s="1132"/>
      <c r="H17" s="1182">
        <f t="shared" ref="H17:H18" si="0">IFERROR(H13-H9, "Error ▲")</f>
        <v>16.669627715952004</v>
      </c>
      <c r="I17" s="1182"/>
      <c r="J17" s="663">
        <f>IF(AND(H9=0, H13=0),0,IF(AND(H9=0,H13&gt;0),"N/A",IFERROR((H13/H9)-1,"Check Data ⚠")))</f>
        <v>1.0264549086177341</v>
      </c>
      <c r="K17" s="898" t="str">
        <f>IF(J17="N/A","Zero baseline units - % cannot be calculated",IF(OR(AND(H9=0,H13=0),J17&gt;=Start!$F$22)," ","On-site net gain is less than target set ⚠"))</f>
        <v xml:space="preserve"> </v>
      </c>
      <c r="L17" s="23"/>
      <c r="M17" s="23"/>
      <c r="N17" s="23"/>
    </row>
    <row r="18" spans="2:14" ht="22.05" customHeight="1" thickBot="1" x14ac:dyDescent="0.55000000000000004">
      <c r="B18" s="1140"/>
      <c r="C18" s="1141"/>
      <c r="D18" s="1141"/>
      <c r="E18" s="1141"/>
      <c r="F18" s="1127" t="s">
        <v>77</v>
      </c>
      <c r="G18" s="1128"/>
      <c r="H18" s="1183">
        <f t="shared" si="0"/>
        <v>0</v>
      </c>
      <c r="I18" s="1183"/>
      <c r="J18" s="663">
        <f>IF(AND(H10=0, H14=0),0,IF(AND(H10=0,H14&gt;0),"N/A",IFERROR((H14/H10)-1,"Check Data ⚠")))</f>
        <v>0</v>
      </c>
      <c r="K18" s="898" t="str">
        <f>IF(J18="N/A","Zero baseline units - % cannot be calculated",IF(OR(AND(H10=0,H14=0),J18&gt;=Start!$F$22)," ","On-site net gain is less than target set ⚠"))</f>
        <v xml:space="preserve"> </v>
      </c>
      <c r="L18" s="23"/>
      <c r="M18" s="23"/>
      <c r="N18" s="23"/>
    </row>
    <row r="19" spans="2:14" ht="25.05" customHeight="1" thickBot="1" x14ac:dyDescent="0.55000000000000004">
      <c r="H19" s="255"/>
      <c r="I19" s="255"/>
      <c r="K19" s="23"/>
      <c r="L19" s="23"/>
      <c r="M19" s="23"/>
      <c r="N19" s="23"/>
    </row>
    <row r="20" spans="2:14" ht="22.05" customHeight="1" x14ac:dyDescent="0.5">
      <c r="B20" s="1134" t="s">
        <v>80</v>
      </c>
      <c r="C20" s="1135"/>
      <c r="D20" s="1135"/>
      <c r="E20" s="1135"/>
      <c r="F20" s="1129" t="s">
        <v>75</v>
      </c>
      <c r="G20" s="1130"/>
      <c r="H20" s="1123">
        <f>IFERROR('D-1 Off-Site Habitat Baseline'!T259,"Check Data ⚠")</f>
        <v>0</v>
      </c>
      <c r="I20" s="1124"/>
      <c r="K20" s="23"/>
      <c r="L20" s="1175">
        <f>IFERROR('D-1 Off-Site Habitat Baseline'!Q259,"Check Data ⚠")</f>
        <v>0</v>
      </c>
      <c r="M20" s="1124"/>
      <c r="N20" s="23"/>
    </row>
    <row r="21" spans="2:14" ht="22.05" customHeight="1" x14ac:dyDescent="0.5">
      <c r="B21" s="1137"/>
      <c r="C21" s="1138"/>
      <c r="D21" s="1138"/>
      <c r="E21" s="1138"/>
      <c r="F21" s="1131" t="s">
        <v>76</v>
      </c>
      <c r="G21" s="1132"/>
      <c r="H21" s="1125">
        <f>IFERROR('E-1 Off-Site Hedge Baseline'!Q258,"Check Data ⚠")</f>
        <v>0</v>
      </c>
      <c r="I21" s="1126"/>
      <c r="K21" s="23"/>
      <c r="L21" s="1176">
        <f>IFERROR('E-1 Off-Site Hedge Baseline'!N258,"Check Data ⚠")</f>
        <v>0</v>
      </c>
      <c r="M21" s="1126"/>
      <c r="N21" s="23"/>
    </row>
    <row r="22" spans="2:14" ht="22.05" customHeight="1" thickBot="1" x14ac:dyDescent="0.55000000000000004">
      <c r="B22" s="1140"/>
      <c r="C22" s="1141"/>
      <c r="D22" s="1141"/>
      <c r="E22" s="1141"/>
      <c r="F22" s="1127" t="s">
        <v>77</v>
      </c>
      <c r="G22" s="1128"/>
      <c r="H22" s="1172">
        <f>IFERROR('F-1 Off-Site WaterC'' Baseline'!U258,"Check Data ⚠")</f>
        <v>0</v>
      </c>
      <c r="I22" s="1173"/>
      <c r="K22" s="23"/>
      <c r="L22" s="1177">
        <f>IFERROR('F-1 Off-Site WaterC'' Baseline'!R258,"Check Data ⚠")</f>
        <v>0</v>
      </c>
      <c r="M22" s="1173"/>
      <c r="N22" s="23"/>
    </row>
    <row r="23" spans="2:14" ht="5.55" customHeight="1" thickBot="1" x14ac:dyDescent="0.55000000000000004">
      <c r="H23" s="255"/>
      <c r="I23" s="255"/>
      <c r="K23" s="23"/>
      <c r="L23" s="255"/>
      <c r="M23" s="255"/>
      <c r="N23" s="23"/>
    </row>
    <row r="24" spans="2:14" ht="22.05" customHeight="1" x14ac:dyDescent="0.5">
      <c r="B24" s="1134" t="s">
        <v>81</v>
      </c>
      <c r="C24" s="1135"/>
      <c r="D24" s="1135"/>
      <c r="E24" s="1136"/>
      <c r="F24" s="1129" t="s">
        <v>75</v>
      </c>
      <c r="G24" s="1130"/>
      <c r="H24" s="1145">
        <f>IFERROR('D-1 Off-Site Habitat Baseline'!$X$259+'D-2 Off-Site Habitat Creation'!AB257+'D-3 Off-Site Habitat Enhancment'!AQ259,"Check Data ⚠")</f>
        <v>0</v>
      </c>
      <c r="I24" s="1146"/>
      <c r="K24" s="23"/>
      <c r="L24" s="1178">
        <f>IFERROR('D-1 Off-Site Habitat Baseline'!$AY$259+'D-2 Off-Site Habitat Creation'!AA257+'D-3 Off-Site Habitat Enhancment'!AP259,"Check Data ⚠")</f>
        <v>0</v>
      </c>
      <c r="M24" s="1146"/>
      <c r="N24" s="23"/>
    </row>
    <row r="25" spans="2:14" ht="22.05" customHeight="1" x14ac:dyDescent="0.5">
      <c r="B25" s="1137"/>
      <c r="C25" s="1138"/>
      <c r="D25" s="1138"/>
      <c r="E25" s="1139"/>
      <c r="F25" s="1131" t="s">
        <v>76</v>
      </c>
      <c r="G25" s="1132"/>
      <c r="H25" s="1164">
        <f>IFERROR('E-1 Off-Site Hedge Baseline'!U258+'E-2 Off-Site Hedge Creation'!Z260+'E-3 Off-Site Hedge Enhancement'!AK258,"Check Data ⚠")</f>
        <v>0</v>
      </c>
      <c r="I25" s="1165"/>
      <c r="K25" s="23"/>
      <c r="L25" s="1179">
        <f>IFERROR('E-1 Off-Site Hedge Baseline'!AY258+'E-2 Off-Site Hedge Creation'!Y260+'E-3 Off-Site Hedge Enhancement'!AJ258,"Check Data ⚠")</f>
        <v>0</v>
      </c>
      <c r="M25" s="1165"/>
      <c r="N25" s="23"/>
    </row>
    <row r="26" spans="2:14" ht="22.05" customHeight="1" thickBot="1" x14ac:dyDescent="0.55000000000000004">
      <c r="B26" s="1140"/>
      <c r="C26" s="1141"/>
      <c r="D26" s="1141"/>
      <c r="E26" s="1142"/>
      <c r="F26" s="1127" t="s">
        <v>77</v>
      </c>
      <c r="G26" s="1128"/>
      <c r="H26" s="1168">
        <f>IFERROR('F-1 Off-Site WaterC'' Baseline'!Y258+'F-2 Off-Site WaterC'' Creation'!AC260+'F-3 Off-Site WaterC Enhancement'!AP258,"Check Data ⚠")</f>
        <v>0</v>
      </c>
      <c r="I26" s="1169"/>
      <c r="K26" s="23"/>
      <c r="L26" s="1174">
        <f>IFERROR('F-1 Off-Site WaterC'' Baseline'!AZ258+'F-2 Off-Site WaterC'' Creation'!AB260+'F-3 Off-Site WaterC Enhancement'!AO258,"Check Data ⚠")</f>
        <v>0</v>
      </c>
      <c r="M26" s="1169"/>
      <c r="N26" s="23"/>
    </row>
    <row r="27" spans="2:14" ht="5.0999999999999996" customHeight="1" thickBot="1" x14ac:dyDescent="0.55000000000000004">
      <c r="K27" s="23"/>
      <c r="L27" s="23"/>
      <c r="M27" s="23"/>
      <c r="N27" s="23"/>
    </row>
    <row r="28" spans="2:14" ht="22.05" customHeight="1" x14ac:dyDescent="0.5">
      <c r="B28" s="1134" t="s">
        <v>82</v>
      </c>
      <c r="C28" s="1135"/>
      <c r="D28" s="1135"/>
      <c r="E28" s="1135"/>
      <c r="F28" s="1129" t="s">
        <v>75</v>
      </c>
      <c r="G28" s="1130"/>
      <c r="H28" s="1123">
        <f>IFERROR(H24-H20, "Error ▲")</f>
        <v>0</v>
      </c>
      <c r="I28" s="1123"/>
      <c r="J28" s="662">
        <f>IF(AND(H20=0, H24=0), 0,IF(AND(H20=0,H24&gt;0),"N/A",IFERROR((H24/H20)-1,"Check Data ⚠")))</f>
        <v>0</v>
      </c>
      <c r="K28" s="23" t="b">
        <f>IF(J28="N/A","0 baseline units - % cannot be calculated")</f>
        <v>0</v>
      </c>
      <c r="L28" s="23"/>
      <c r="M28" s="23"/>
      <c r="N28" s="23"/>
    </row>
    <row r="29" spans="2:14" ht="22.05" customHeight="1" x14ac:dyDescent="0.5">
      <c r="B29" s="1137"/>
      <c r="C29" s="1138"/>
      <c r="D29" s="1138"/>
      <c r="E29" s="1138"/>
      <c r="F29" s="1131" t="s">
        <v>76</v>
      </c>
      <c r="G29" s="1132"/>
      <c r="H29" s="1125">
        <f t="shared" ref="H29:H30" si="1">IFERROR(H25-H21, "Error ▲")</f>
        <v>0</v>
      </c>
      <c r="I29" s="1125"/>
      <c r="J29" s="663">
        <f t="shared" ref="J29:J30" si="2">IF(AND(H21=0, H25=0), 0,IF(AND(H21=0,H25&gt;0),"N/A",IFERROR((H25/H21)-1,"Check Data ⚠")))</f>
        <v>0</v>
      </c>
      <c r="K29" s="23" t="b">
        <f t="shared" ref="K29" si="3">IF(J29="N/A","0 baseline units - % cannot be calculated")</f>
        <v>0</v>
      </c>
      <c r="L29" s="23"/>
      <c r="M29" s="23"/>
      <c r="N29" s="23"/>
    </row>
    <row r="30" spans="2:14" ht="22.05" customHeight="1" thickBot="1" x14ac:dyDescent="0.55000000000000004">
      <c r="B30" s="1140"/>
      <c r="C30" s="1141"/>
      <c r="D30" s="1141"/>
      <c r="E30" s="1141"/>
      <c r="F30" s="1127" t="s">
        <v>77</v>
      </c>
      <c r="G30" s="1128"/>
      <c r="H30" s="1116">
        <f t="shared" si="1"/>
        <v>0</v>
      </c>
      <c r="I30" s="1116"/>
      <c r="J30" s="664">
        <f t="shared" si="2"/>
        <v>0</v>
      </c>
      <c r="K30" s="23" t="b">
        <f>IF(J30="N/A","0 baseline units - % cannot be calculated")</f>
        <v>0</v>
      </c>
      <c r="L30" s="23"/>
      <c r="M30" s="23"/>
      <c r="N30" s="23"/>
    </row>
    <row r="31" spans="2:14" ht="22.05" customHeight="1" x14ac:dyDescent="0.5">
      <c r="K31" s="23"/>
      <c r="L31" s="23"/>
      <c r="M31" s="23"/>
      <c r="N31" s="23"/>
    </row>
    <row r="32" spans="2:14" ht="7.5" hidden="1" customHeight="1" x14ac:dyDescent="0.5">
      <c r="B32" s="1134" t="s">
        <v>83</v>
      </c>
      <c r="C32" s="1135"/>
      <c r="D32" s="1135"/>
      <c r="E32" s="1135"/>
      <c r="F32" s="1129" t="s">
        <v>75</v>
      </c>
      <c r="G32" s="1130"/>
      <c r="H32" s="1123">
        <f>IF(H28&lt;0, "N/A", (L24-L20))</f>
        <v>0</v>
      </c>
      <c r="I32" s="1124"/>
      <c r="J32" s="1114" t="str">
        <f>IF(H32="N/A", "SRM only applies where unit change is positive (uplift)", " ")</f>
        <v xml:space="preserve"> </v>
      </c>
      <c r="K32" s="1115"/>
      <c r="L32" s="23"/>
      <c r="M32" s="23"/>
      <c r="N32" s="23"/>
    </row>
    <row r="33" spans="2:14" ht="22.5" hidden="1" customHeight="1" x14ac:dyDescent="0.5">
      <c r="B33" s="1137"/>
      <c r="C33" s="1138"/>
      <c r="D33" s="1138"/>
      <c r="E33" s="1138"/>
      <c r="F33" s="1131" t="s">
        <v>76</v>
      </c>
      <c r="G33" s="1132"/>
      <c r="H33" s="1125">
        <f>IF(H29&lt;0, "N/A", (L25-L21))</f>
        <v>0</v>
      </c>
      <c r="I33" s="1126"/>
      <c r="J33" s="1114" t="str">
        <f t="shared" ref="J33:J34" si="4">IF(H33="N/A", "SRM only applies where unit change is positive", " ")</f>
        <v xml:space="preserve"> </v>
      </c>
      <c r="K33" s="1115"/>
      <c r="L33" s="23"/>
      <c r="M33" s="23"/>
      <c r="N33" s="23"/>
    </row>
    <row r="34" spans="2:14" ht="16.05" hidden="1" customHeight="1" thickBot="1" x14ac:dyDescent="0.55000000000000004">
      <c r="B34" s="1140"/>
      <c r="C34" s="1141"/>
      <c r="D34" s="1141"/>
      <c r="E34" s="1141"/>
      <c r="F34" s="1127" t="s">
        <v>77</v>
      </c>
      <c r="G34" s="1128"/>
      <c r="H34" s="1116">
        <f>IF(H30&lt;0, "N/A", (L26-L22))</f>
        <v>0</v>
      </c>
      <c r="I34" s="1117"/>
      <c r="J34" s="1114" t="str">
        <f t="shared" si="4"/>
        <v xml:space="preserve"> </v>
      </c>
      <c r="K34" s="1115"/>
      <c r="L34" s="23"/>
      <c r="M34" s="23"/>
      <c r="N34" s="23"/>
    </row>
    <row r="35" spans="2:14" ht="13.5" hidden="1" customHeight="1" x14ac:dyDescent="0.5">
      <c r="B35" s="661"/>
      <c r="C35" s="661"/>
      <c r="D35" s="23"/>
      <c r="E35" s="23"/>
      <c r="F35" s="661"/>
      <c r="G35" s="661"/>
      <c r="H35" s="23"/>
      <c r="I35" s="23"/>
      <c r="J35" s="661"/>
      <c r="K35" s="661"/>
      <c r="L35" s="23"/>
      <c r="M35" s="23"/>
      <c r="N35" s="23"/>
    </row>
    <row r="36" spans="2:14" ht="22.05" customHeight="1" thickBot="1" x14ac:dyDescent="0.55000000000000004">
      <c r="B36" s="661"/>
      <c r="C36" s="661"/>
      <c r="D36" s="23"/>
      <c r="E36" s="23"/>
      <c r="F36" s="661"/>
      <c r="G36" s="661"/>
      <c r="H36" s="23"/>
      <c r="I36" s="23"/>
      <c r="J36" s="661"/>
      <c r="K36" s="23"/>
      <c r="L36" s="23"/>
      <c r="M36" s="23"/>
      <c r="N36" s="23"/>
    </row>
    <row r="37" spans="2:14" ht="22.05" customHeight="1" x14ac:dyDescent="0.5">
      <c r="B37" s="1134" t="s">
        <v>84</v>
      </c>
      <c r="C37" s="1135"/>
      <c r="D37" s="1135"/>
      <c r="E37" s="1136"/>
      <c r="F37" s="1129" t="s">
        <v>75</v>
      </c>
      <c r="G37" s="1130"/>
      <c r="H37" s="1145">
        <f>IFERROR((H16)+(H28),"Check Data ⚠")</f>
        <v>97.897490402123225</v>
      </c>
      <c r="I37" s="1146"/>
      <c r="J37" s="661"/>
      <c r="K37" s="23"/>
      <c r="L37" s="23"/>
      <c r="M37" s="23"/>
      <c r="N37" s="23"/>
    </row>
    <row r="38" spans="2:14" ht="22.05" customHeight="1" x14ac:dyDescent="0.5">
      <c r="B38" s="1137"/>
      <c r="C38" s="1138"/>
      <c r="D38" s="1138"/>
      <c r="E38" s="1139"/>
      <c r="F38" s="1131" t="s">
        <v>76</v>
      </c>
      <c r="G38" s="1132"/>
      <c r="H38" s="1164">
        <f>IFERROR((H17)+(H29),"Check Data ⚠")</f>
        <v>16.669627715952004</v>
      </c>
      <c r="I38" s="1165"/>
      <c r="J38" s="661"/>
      <c r="K38" s="23"/>
      <c r="L38" s="23"/>
      <c r="M38" s="23"/>
      <c r="N38" s="23"/>
    </row>
    <row r="39" spans="2:14" ht="22.05" customHeight="1" thickBot="1" x14ac:dyDescent="0.55000000000000004">
      <c r="B39" s="1140"/>
      <c r="C39" s="1141"/>
      <c r="D39" s="1141"/>
      <c r="E39" s="1142"/>
      <c r="F39" s="1127" t="s">
        <v>77</v>
      </c>
      <c r="G39" s="1128"/>
      <c r="H39" s="1168">
        <f>IFERROR((H18)+(H30),"Check Data ⚠")</f>
        <v>0</v>
      </c>
      <c r="I39" s="1169"/>
      <c r="J39" s="661"/>
      <c r="K39" s="23"/>
      <c r="L39" s="23"/>
      <c r="M39" s="23"/>
      <c r="N39" s="23"/>
    </row>
    <row r="40" spans="2:14" ht="5.55" customHeight="1" thickBot="1" x14ac:dyDescent="0.55000000000000004">
      <c r="B40" s="661"/>
      <c r="C40" s="661"/>
      <c r="D40" s="23"/>
      <c r="E40" s="23"/>
      <c r="F40" s="661"/>
      <c r="G40" s="661"/>
      <c r="H40" s="23"/>
      <c r="I40" s="23"/>
      <c r="J40" s="661"/>
      <c r="K40" s="23"/>
      <c r="L40" s="23"/>
      <c r="M40" s="23"/>
      <c r="N40" s="23"/>
    </row>
    <row r="41" spans="2:14" ht="22.05" customHeight="1" x14ac:dyDescent="0.5">
      <c r="B41" s="1203" t="s">
        <v>85</v>
      </c>
      <c r="C41" s="1135"/>
      <c r="D41" s="1135"/>
      <c r="E41" s="1136"/>
      <c r="F41" s="1129" t="s">
        <v>75</v>
      </c>
      <c r="G41" s="1130"/>
      <c r="H41" s="1145">
        <f>IFERROR(H28-H32, "0.00")</f>
        <v>0</v>
      </c>
      <c r="I41" s="1146"/>
      <c r="J41" s="661"/>
      <c r="K41" s="23"/>
      <c r="L41" s="23"/>
      <c r="M41" s="23"/>
      <c r="N41" s="23"/>
    </row>
    <row r="42" spans="2:14" ht="22.05" customHeight="1" x14ac:dyDescent="0.5">
      <c r="B42" s="1137"/>
      <c r="C42" s="1138"/>
      <c r="D42" s="1138"/>
      <c r="E42" s="1139"/>
      <c r="F42" s="1131" t="s">
        <v>76</v>
      </c>
      <c r="G42" s="1132"/>
      <c r="H42" s="1164">
        <f>IFERROR(H29-H33, "0.00")</f>
        <v>0</v>
      </c>
      <c r="I42" s="1165"/>
      <c r="J42" s="661"/>
      <c r="K42" s="23"/>
      <c r="L42" s="23"/>
      <c r="M42" s="23"/>
      <c r="N42" s="23"/>
    </row>
    <row r="43" spans="2:14" ht="22.05" customHeight="1" thickBot="1" x14ac:dyDescent="0.55000000000000004">
      <c r="B43" s="1140"/>
      <c r="C43" s="1141"/>
      <c r="D43" s="1141"/>
      <c r="E43" s="1142"/>
      <c r="F43" s="1127" t="s">
        <v>77</v>
      </c>
      <c r="G43" s="1128"/>
      <c r="H43" s="1168">
        <f>IFERROR(H30-H34, "0.00")</f>
        <v>0</v>
      </c>
      <c r="I43" s="1169"/>
      <c r="J43" s="661"/>
      <c r="K43" s="23"/>
      <c r="L43" s="23"/>
      <c r="M43" s="23"/>
      <c r="N43" s="23"/>
    </row>
    <row r="44" spans="2:14" ht="37.049999999999997" customHeight="1" thickBot="1" x14ac:dyDescent="0.55000000000000004">
      <c r="B44" s="660"/>
      <c r="C44" s="660"/>
      <c r="D44" s="660"/>
      <c r="E44" s="660"/>
      <c r="F44" s="660"/>
      <c r="G44" s="660"/>
      <c r="H44" s="660"/>
      <c r="I44" s="660"/>
      <c r="J44" s="661"/>
      <c r="K44" s="23"/>
      <c r="L44" s="23"/>
      <c r="M44" s="23"/>
      <c r="N44" s="23"/>
    </row>
    <row r="45" spans="2:14" ht="35.1" customHeight="1" thickBot="1" x14ac:dyDescent="0.55000000000000004">
      <c r="B45" s="1204" t="s">
        <v>86</v>
      </c>
      <c r="C45" s="1205"/>
      <c r="D45" s="1205"/>
      <c r="E45" s="1205"/>
      <c r="F45" s="1205"/>
      <c r="G45" s="1205"/>
      <c r="H45" s="1205"/>
      <c r="I45" s="1206"/>
      <c r="K45" s="23"/>
      <c r="L45" s="23"/>
      <c r="M45" s="23"/>
      <c r="N45" s="23"/>
    </row>
    <row r="46" spans="2:14" ht="10.050000000000001" customHeight="1" thickBot="1" x14ac:dyDescent="0.55000000000000004">
      <c r="B46" s="666"/>
      <c r="C46" s="666"/>
      <c r="D46" s="666"/>
      <c r="E46" s="666"/>
      <c r="F46" s="666"/>
      <c r="G46" s="666"/>
      <c r="H46" s="666"/>
      <c r="I46" s="666"/>
      <c r="K46" s="23"/>
      <c r="L46" s="23"/>
      <c r="M46" s="23"/>
      <c r="N46" s="23"/>
    </row>
    <row r="47" spans="2:14" ht="22.05" customHeight="1" x14ac:dyDescent="0.5">
      <c r="B47" s="1155" t="s">
        <v>87</v>
      </c>
      <c r="C47" s="1156"/>
      <c r="D47" s="1156"/>
      <c r="E47" s="1157"/>
      <c r="F47" s="1129" t="s">
        <v>75</v>
      </c>
      <c r="G47" s="1130"/>
      <c r="H47" s="1145">
        <f>IFERROR(IF(H32="N/A", (H12-H8)+(H28), (H12-H8)+(H32)),"Check Data ⚠")</f>
        <v>97.897490402123225</v>
      </c>
      <c r="I47" s="1146"/>
      <c r="J47" s="1170"/>
      <c r="K47" s="1171"/>
      <c r="L47" s="23"/>
      <c r="M47" s="23"/>
      <c r="N47" s="23"/>
    </row>
    <row r="48" spans="2:14" ht="22.05" customHeight="1" x14ac:dyDescent="0.5">
      <c r="B48" s="1158"/>
      <c r="C48" s="1159"/>
      <c r="D48" s="1159"/>
      <c r="E48" s="1160"/>
      <c r="F48" s="1131" t="s">
        <v>76</v>
      </c>
      <c r="G48" s="1132"/>
      <c r="H48" s="1164">
        <f>IFERROR(IF(H33="N/A", (H13-H9)+(H29), (H13-H9)+(H33)),"Check Data ⚠")</f>
        <v>16.669627715952004</v>
      </c>
      <c r="I48" s="1165"/>
      <c r="J48" s="1170"/>
      <c r="K48" s="1171"/>
      <c r="L48" s="23"/>
      <c r="M48" s="23"/>
      <c r="N48" s="23"/>
    </row>
    <row r="49" spans="1:33" ht="22.05" customHeight="1" thickBot="1" x14ac:dyDescent="0.55000000000000004">
      <c r="B49" s="1161"/>
      <c r="C49" s="1162"/>
      <c r="D49" s="1162"/>
      <c r="E49" s="1163"/>
      <c r="F49" s="1127" t="s">
        <v>77</v>
      </c>
      <c r="G49" s="1128"/>
      <c r="H49" s="1164">
        <f>IFERROR(IF(H34="N/A", (H14-H10)+(H30), (H14-H10)+(H34)),"Check Data ⚠")</f>
        <v>0</v>
      </c>
      <c r="I49" s="1165"/>
      <c r="J49" s="1170"/>
      <c r="K49" s="1171"/>
      <c r="L49" s="555"/>
      <c r="M49" s="23"/>
      <c r="N49" s="23"/>
    </row>
    <row r="50" spans="1:33" ht="10.050000000000001" customHeight="1" thickBot="1" x14ac:dyDescent="0.55000000000000004">
      <c r="H50" s="665"/>
      <c r="I50" s="665"/>
      <c r="K50" s="23"/>
      <c r="L50" s="23"/>
      <c r="M50" s="23"/>
      <c r="N50" s="23"/>
    </row>
    <row r="51" spans="1:33" ht="33.450000000000003" customHeight="1" x14ac:dyDescent="0.5">
      <c r="B51" s="1134" t="s">
        <v>88</v>
      </c>
      <c r="C51" s="1135"/>
      <c r="D51" s="1135"/>
      <c r="E51" s="1136"/>
      <c r="F51" s="1129" t="s">
        <v>75</v>
      </c>
      <c r="G51" s="1130"/>
      <c r="H51" s="1148">
        <f>IF(H47=0,0,IF(AND(H8=0,H20=0,H47&gt;0),1,IFERROR((H47/H8),"Check Data ⚠")))</f>
        <v>1.012467323068333</v>
      </c>
      <c r="I51" s="1149"/>
      <c r="J51" s="1118" t="str">
        <f>IF(H51="N/A","0 baseline units - % cannot be calculated",IF(OR(AND(H8=0,H12=0,H20=0,H24=0),H51&gt;=Start!$F$22)," ","Total net gain achieved is less than target set ⚠"))</f>
        <v xml:space="preserve"> </v>
      </c>
      <c r="K51" s="1119"/>
      <c r="L51" s="555"/>
      <c r="M51" s="555"/>
      <c r="N51" s="23"/>
    </row>
    <row r="52" spans="1:33" ht="31.95" customHeight="1" x14ac:dyDescent="0.5">
      <c r="A52" s="26"/>
      <c r="B52" s="1137"/>
      <c r="C52" s="1138"/>
      <c r="D52" s="1138"/>
      <c r="E52" s="1139"/>
      <c r="F52" s="1131" t="s">
        <v>76</v>
      </c>
      <c r="G52" s="1132"/>
      <c r="H52" s="1150">
        <f>IF(AND(H48=0, H9=0),0,IF(AND(H9=0,H21=0,H48&gt;0),"N/A",IFERROR((H48/H9),"Check Data ⚠")))</f>
        <v>1.0264549086177341</v>
      </c>
      <c r="I52" s="1151"/>
      <c r="J52" s="1118" t="str">
        <f>IF(H52="N/A","0 baseline units - % cannot be calculated",IF(OR(AND(H9=0,H13=0,H21=0,H25=0),H52&gt;=Start!$F$22)," ","Total net gain achieved is less than target set ⚠"))</f>
        <v xml:space="preserve"> </v>
      </c>
      <c r="K52" s="1119"/>
      <c r="L52" s="23"/>
      <c r="M52" s="23"/>
      <c r="N52" s="23"/>
    </row>
    <row r="53" spans="1:33" ht="32.549999999999997" customHeight="1" thickBot="1" x14ac:dyDescent="0.55000000000000004">
      <c r="A53" s="26"/>
      <c r="B53" s="1140"/>
      <c r="C53" s="1141"/>
      <c r="D53" s="1141"/>
      <c r="E53" s="1142"/>
      <c r="F53" s="1127" t="s">
        <v>77</v>
      </c>
      <c r="G53" s="1152"/>
      <c r="H53" s="1153">
        <f>IF(H49=0,0,IF(AND(H10=0,H22=0,H49&gt;0),1,IFERROR((H49/H10),"Check Data ⚠")))</f>
        <v>0</v>
      </c>
      <c r="I53" s="1154"/>
      <c r="J53" s="1118" t="str">
        <f>IF(H53="N/A","0 baseline units - % cannot be calculated",IF(OR(AND(H10=0,H14=0,H22=0,H26=0),H53&gt;=Start!$F$22)," ","Total net gain achieved is less than target set ⚠"))</f>
        <v xml:space="preserve"> </v>
      </c>
      <c r="K53" s="1119"/>
      <c r="L53" s="23"/>
      <c r="M53" s="23"/>
      <c r="N53" s="23"/>
    </row>
    <row r="54" spans="1:33" ht="10.050000000000001" customHeight="1" thickBot="1" x14ac:dyDescent="0.55000000000000004">
      <c r="B54" s="1133"/>
      <c r="C54" s="1133"/>
      <c r="D54" s="1133"/>
      <c r="F54" s="27"/>
      <c r="G54" s="27"/>
      <c r="H54" s="27"/>
      <c r="I54" s="27"/>
      <c r="J54" s="27"/>
      <c r="K54" s="27"/>
      <c r="L54" s="27"/>
      <c r="M54" s="27"/>
    </row>
    <row r="55" spans="1:33" s="28" customFormat="1" ht="38.25" customHeight="1" thickBot="1" x14ac:dyDescent="0.3">
      <c r="B55" s="1197" t="s">
        <v>89</v>
      </c>
      <c r="C55" s="1198"/>
      <c r="D55" s="1198"/>
      <c r="E55" s="1199"/>
      <c r="F55" s="1200" t="str" cm="1">
        <f t="array" ref="F55">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Yes ✓</v>
      </c>
      <c r="G55" s="1201"/>
      <c r="H55" s="1201"/>
      <c r="I55" s="1202"/>
      <c r="J55" s="29"/>
      <c r="K55" s="29"/>
      <c r="L55" s="29"/>
      <c r="M55" s="29"/>
      <c r="N55" s="22"/>
      <c r="O55" s="22"/>
      <c r="P55" s="22"/>
      <c r="Q55" s="22"/>
      <c r="X55" s="22"/>
      <c r="Y55" s="22"/>
      <c r="Z55" s="22"/>
      <c r="AA55" s="22"/>
      <c r="AB55" s="22"/>
      <c r="AC55" s="22"/>
      <c r="AD55" s="22"/>
      <c r="AE55" s="22"/>
      <c r="AF55" s="22"/>
      <c r="AG55" s="22"/>
    </row>
    <row r="56" spans="1:33" s="28" customFormat="1" ht="12" hidden="1" customHeight="1" x14ac:dyDescent="0.25">
      <c r="B56" s="1147" t="str">
        <f>IF(Start!F27="Yes", "This metric contains deviations from the statutory metric - these deviations are only acceptable in extremely rare circumstances and must be agreed with the consenting body ⚠", "")</f>
        <v/>
      </c>
      <c r="C56" s="1147"/>
      <c r="D56" s="1147"/>
      <c r="E56" s="1147"/>
      <c r="F56" s="1147"/>
      <c r="G56" s="1147"/>
      <c r="H56" s="1147"/>
      <c r="I56" s="1147"/>
      <c r="J56" s="29"/>
      <c r="K56" s="29"/>
      <c r="L56" s="29"/>
      <c r="M56" s="29"/>
      <c r="N56" s="22"/>
      <c r="O56" s="22"/>
      <c r="P56" s="22"/>
      <c r="Q56" s="22"/>
      <c r="X56" s="22"/>
      <c r="Y56" s="22"/>
      <c r="Z56" s="22"/>
      <c r="AA56" s="22"/>
      <c r="AB56" s="22"/>
      <c r="AC56" s="22"/>
      <c r="AD56" s="22"/>
      <c r="AE56" s="22"/>
      <c r="AF56" s="22"/>
      <c r="AG56" s="22"/>
    </row>
    <row r="57" spans="1:33" ht="15.6" x14ac:dyDescent="0.25">
      <c r="B57" s="1122" t="str">
        <f>IF(Start!I23="You must specify if irreplaceable habitats are on-site at baseline ▲", "You must specify if irreplaceable habitats are on-site at baseline ▲", "")</f>
        <v/>
      </c>
      <c r="C57" s="1122"/>
      <c r="D57" s="1122"/>
      <c r="E57" s="1122"/>
      <c r="F57" s="1122"/>
      <c r="G57" s="1122"/>
      <c r="H57" s="1122"/>
      <c r="I57" s="1122"/>
      <c r="J57" s="29"/>
      <c r="K57" s="29"/>
      <c r="L57" s="29"/>
      <c r="M57" s="29"/>
      <c r="X57" s="28"/>
      <c r="Y57" s="28"/>
      <c r="Z57" s="28"/>
      <c r="AA57" s="28"/>
      <c r="AB57" s="28"/>
    </row>
    <row r="58" spans="1:33" ht="15.6" x14ac:dyDescent="0.25">
      <c r="B58" s="1122" t="str" cm="1">
        <f t="array" ref="B58">IF(OR('Irreplaceable Habitats'!AA10:AA31="Irreplaceable habitat lost, bespoke compensation must be agreed with concenting body ▲"), "Unacceptable loss of irreplaceable habitat recorded - no bespoke compensation for lossess has been agreed  ▲", "")</f>
        <v/>
      </c>
      <c r="C58" s="1122"/>
      <c r="D58" s="1122"/>
      <c r="E58" s="1122"/>
      <c r="F58" s="1122"/>
      <c r="G58" s="1122"/>
      <c r="H58" s="1122"/>
      <c r="I58" s="1122"/>
      <c r="J58" s="29"/>
      <c r="K58" s="29"/>
      <c r="L58" s="29"/>
      <c r="M58" s="29"/>
      <c r="X58" s="28"/>
      <c r="Y58" s="28"/>
      <c r="Z58" s="28"/>
      <c r="AA58" s="28"/>
      <c r="AB58" s="28"/>
    </row>
    <row r="59" spans="1:33" ht="17.100000000000001" customHeight="1" thickBot="1" x14ac:dyDescent="0.3">
      <c r="B59" s="29"/>
      <c r="C59" s="29"/>
      <c r="D59" s="29"/>
      <c r="E59" s="29"/>
      <c r="F59" s="29"/>
      <c r="G59" s="29"/>
      <c r="H59" s="29"/>
      <c r="I59" s="29"/>
      <c r="J59" s="29"/>
      <c r="K59" s="29"/>
      <c r="L59" s="29"/>
      <c r="M59" s="29"/>
      <c r="X59" s="28"/>
      <c r="Y59" s="28"/>
      <c r="Z59" s="28"/>
      <c r="AA59" s="28"/>
      <c r="AB59" s="28"/>
    </row>
    <row r="60" spans="1:33" ht="23.55" customHeight="1" thickBot="1" x14ac:dyDescent="0.3">
      <c r="B60" s="1143" t="s">
        <v>90</v>
      </c>
      <c r="C60" s="1144"/>
      <c r="D60" s="569" t="s">
        <v>91</v>
      </c>
      <c r="E60" s="570" t="s">
        <v>92</v>
      </c>
      <c r="F60" s="1120" t="s">
        <v>93</v>
      </c>
      <c r="G60" s="1120"/>
      <c r="H60" s="1120" t="s">
        <v>94</v>
      </c>
      <c r="I60" s="1121"/>
      <c r="J60" s="568"/>
    </row>
    <row r="61" spans="1:33" ht="17.399999999999999" x14ac:dyDescent="0.25">
      <c r="B61" s="1129" t="s">
        <v>75</v>
      </c>
      <c r="C61" s="1130"/>
      <c r="D61" s="712">
        <f>Start!F22</f>
        <v>0.1</v>
      </c>
      <c r="E61" s="708">
        <f>H8</f>
        <v>96.691999999999979</v>
      </c>
      <c r="F61" s="1123">
        <f>IFERROR(E61*(1+D61), "Error ▲")</f>
        <v>106.36119999999998</v>
      </c>
      <c r="G61" s="1123"/>
      <c r="H61" s="1123">
        <f>IFERROR(IF(H32="N/A",(IF(F61-(H12+(H28))&lt;0,0,F61-(H12+(H28)))),(IF(F61-(H12+H32)&lt;0,0,F61-(H12+H32)))), "Error ▲")</f>
        <v>0</v>
      </c>
      <c r="I61" s="1124"/>
      <c r="J61" s="1184" t="str">
        <f>IF(H61=0, "Unit requirement met or surpassed  ✓", " ")</f>
        <v>Unit requirement met or surpassed  ✓</v>
      </c>
      <c r="K61" s="1184"/>
    </row>
    <row r="62" spans="1:33" ht="17.399999999999999" x14ac:dyDescent="0.25">
      <c r="B62" s="1131" t="s">
        <v>76</v>
      </c>
      <c r="C62" s="1132"/>
      <c r="D62" s="711">
        <f>Start!F22</f>
        <v>0.1</v>
      </c>
      <c r="E62" s="709">
        <f t="shared" ref="E62:E63" si="5">H9</f>
        <v>16.240000000000002</v>
      </c>
      <c r="F62" s="1125">
        <f t="shared" ref="F62:F63" si="6">IFERROR(E62*(1+D62), "Error ▲")</f>
        <v>17.864000000000004</v>
      </c>
      <c r="G62" s="1125"/>
      <c r="H62" s="1125">
        <f t="shared" ref="H62:H63" si="7">IFERROR(IF(H33="N/A",(IF(F62-(H13+(H29))&lt;0,0,F62-(H13+(H29)))),(IF(F62-(H13+H33)&lt;0,0,F62-(H13+H33)))), "Error ▲")</f>
        <v>0</v>
      </c>
      <c r="I62" s="1126"/>
      <c r="J62" s="1184" t="str">
        <f>IF(H62=0, "Unit requirement met or surpassed  ✓", " ")</f>
        <v>Unit requirement met or surpassed  ✓</v>
      </c>
      <c r="K62" s="1184"/>
    </row>
    <row r="63" spans="1:33" ht="18" thickBot="1" x14ac:dyDescent="0.3">
      <c r="B63" s="1127" t="s">
        <v>77</v>
      </c>
      <c r="C63" s="1128"/>
      <c r="D63" s="713">
        <f>Start!F22</f>
        <v>0.1</v>
      </c>
      <c r="E63" s="710">
        <f t="shared" si="5"/>
        <v>0</v>
      </c>
      <c r="F63" s="1116">
        <f t="shared" si="6"/>
        <v>0</v>
      </c>
      <c r="G63" s="1116"/>
      <c r="H63" s="1116">
        <f t="shared" si="7"/>
        <v>0</v>
      </c>
      <c r="I63" s="1117"/>
      <c r="J63" s="1184" t="str">
        <f>IF(H63=0, "Unit requirement met or surpassed  ✓", " ")</f>
        <v>Unit requirement met or surpassed  ✓</v>
      </c>
      <c r="K63" s="1184"/>
    </row>
    <row r="64" spans="1:33" x14ac:dyDescent="0.25"/>
    <row r="65"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row r="73" ht="15.75" hidden="1" customHeight="1" x14ac:dyDescent="0.25"/>
    <row r="74" ht="15.75" hidden="1" customHeight="1" x14ac:dyDescent="0.25"/>
    <row r="75" ht="15.75" hidden="1" customHeight="1" x14ac:dyDescent="0.25"/>
    <row r="76" ht="15.75" hidden="1" customHeight="1" x14ac:dyDescent="0.25"/>
    <row r="77" ht="15.75" hidden="1" customHeight="1" x14ac:dyDescent="0.25"/>
    <row r="78" ht="15.75" hidden="1" customHeight="1" x14ac:dyDescent="0.25"/>
    <row r="79" ht="15.75" hidden="1" customHeight="1" x14ac:dyDescent="0.25"/>
    <row r="80" ht="15.75" hidden="1" customHeight="1" x14ac:dyDescent="0.25"/>
    <row r="81" ht="15.75" hidden="1" customHeight="1" x14ac:dyDescent="0.25"/>
    <row r="82" ht="15.75" hidden="1" customHeight="1" x14ac:dyDescent="0.25"/>
    <row r="83" ht="15.75" hidden="1" customHeight="1" x14ac:dyDescent="0.25"/>
    <row r="94" x14ac:dyDescent="0.25"/>
    <row r="97" x14ac:dyDescent="0.25"/>
    <row r="98" x14ac:dyDescent="0.25"/>
    <row r="99" x14ac:dyDescent="0.25"/>
    <row r="100" x14ac:dyDescent="0.25"/>
    <row r="107" x14ac:dyDescent="0.25"/>
    <row r="110" ht="21.6" hidden="1" customHeight="1"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ht="64.95" hidden="1" customHeight="1" x14ac:dyDescent="0.25"/>
    <row r="124" x14ac:dyDescent="0.25"/>
    <row r="125" x14ac:dyDescent="0.25"/>
    <row r="126" ht="29.55" hidden="1" customHeight="1" x14ac:dyDescent="0.25"/>
    <row r="127" x14ac:dyDescent="0.25"/>
    <row r="128" x14ac:dyDescent="0.25"/>
    <row r="129" x14ac:dyDescent="0.25"/>
  </sheetData>
  <sheetProtection algorithmName="SHA-512" hashValue="gH8RB8lM68ZVSUvXHYy50RY+Ol6BucCZ5ptr+ojm/KiT475ZisjBqs27JLiNtrS4NofB5oHl+V/rtziIhyy6GA==" saltValue="lMPeiYyDYko9TmUIqEEVlA==" spinCount="100000" sheet="1" objects="1" scenarios="1"/>
  <customSheetViews>
    <customSheetView guid="{8BDA793C-C9C5-4FC6-A0A5-F1109F6D4F22}" state="hidden" topLeftCell="A23">
      <selection activeCell="D14" sqref="D14"/>
    </customSheetView>
  </customSheetViews>
  <mergeCells count="119">
    <mergeCell ref="H41:I41"/>
    <mergeCell ref="F42:G42"/>
    <mergeCell ref="H42:I42"/>
    <mergeCell ref="F43:G43"/>
    <mergeCell ref="H43:I43"/>
    <mergeCell ref="B45:I45"/>
    <mergeCell ref="B37:E39"/>
    <mergeCell ref="F37:G37"/>
    <mergeCell ref="H37:I37"/>
    <mergeCell ref="F38:G38"/>
    <mergeCell ref="H38:I38"/>
    <mergeCell ref="F39:G39"/>
    <mergeCell ref="H39:I39"/>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25:I25"/>
    <mergeCell ref="F26:G26"/>
    <mergeCell ref="H26:I26"/>
    <mergeCell ref="F16:G16"/>
    <mergeCell ref="H16:I16"/>
    <mergeCell ref="F17:G17"/>
    <mergeCell ref="F2:I5"/>
    <mergeCell ref="H17:I17"/>
    <mergeCell ref="F18:G18"/>
    <mergeCell ref="H18:I18"/>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s>
  <conditionalFormatting sqref="K58:L59">
    <cfRule type="cellIs" dxfId="943" priority="143" operator="lessThan">
      <formula>0</formula>
    </cfRule>
    <cfRule type="cellIs" dxfId="942" priority="144" operator="greaterThan">
      <formula>0</formula>
    </cfRule>
  </conditionalFormatting>
  <conditionalFormatting sqref="H47:I47">
    <cfRule type="cellIs" dxfId="941" priority="136" operator="equal">
      <formula>"Error"</formula>
    </cfRule>
  </conditionalFormatting>
  <conditionalFormatting sqref="H51:I51">
    <cfRule type="expression" dxfId="940" priority="117">
      <formula>AND(OR($H$8&gt;0,$H$20&gt;0),$H$51&lt;0.1)</formula>
    </cfRule>
  </conditionalFormatting>
  <conditionalFormatting sqref="L27:L35 L37:L44">
    <cfRule type="cellIs" dxfId="939" priority="134" operator="greaterThan">
      <formula>0</formula>
    </cfRule>
  </conditionalFormatting>
  <conditionalFormatting sqref="L8:L9">
    <cfRule type="cellIs" dxfId="938" priority="133" operator="equal">
      <formula>"Error"</formula>
    </cfRule>
  </conditionalFormatting>
  <conditionalFormatting sqref="L11">
    <cfRule type="cellIs" dxfId="937" priority="132" operator="equal">
      <formula>"Error"</formula>
    </cfRule>
  </conditionalFormatting>
  <conditionalFormatting sqref="L13:L18">
    <cfRule type="cellIs" dxfId="936" priority="130" operator="equal">
      <formula>"Error"</formula>
    </cfRule>
  </conditionalFormatting>
  <conditionalFormatting sqref="H52:I53">
    <cfRule type="cellIs" dxfId="935" priority="124" operator="equal">
      <formula>"Error"</formula>
    </cfRule>
  </conditionalFormatting>
  <conditionalFormatting sqref="H52:I53">
    <cfRule type="cellIs" dxfId="934" priority="123" operator="equal">
      <formula>"Error"</formula>
    </cfRule>
  </conditionalFormatting>
  <conditionalFormatting sqref="H52:I52">
    <cfRule type="expression" dxfId="933" priority="121">
      <formula>AND(OR($H$9&gt;0,$H$21&gt;0),$H$52&lt;0.1)</formula>
    </cfRule>
  </conditionalFormatting>
  <conditionalFormatting sqref="H53:I53">
    <cfRule type="expression" dxfId="932" priority="119">
      <formula>AND(OR($H$10&gt;0,$H$22&gt;0),$H$53&lt;0.1)</formula>
    </cfRule>
  </conditionalFormatting>
  <conditionalFormatting sqref="H8:I15 H19:I26 H47:I53">
    <cfRule type="containsText" dxfId="931" priority="118" operator="containsText" text="Check">
      <formula>NOT(ISERROR(SEARCH("Check",H8)))</formula>
    </cfRule>
    <cfRule type="containsText" dxfId="930" priority="135" operator="containsText" text="Error">
      <formula>NOT(ISERROR(SEARCH("Error",H8)))</formula>
    </cfRule>
  </conditionalFormatting>
  <conditionalFormatting sqref="F55:I55">
    <cfRule type="containsText" dxfId="929" priority="109" operator="containsText" text="No">
      <formula>NOT(ISERROR(SEARCH("No",F55)))</formula>
    </cfRule>
    <cfRule type="containsText" dxfId="928" priority="110" operator="containsText" text="Yes">
      <formula>NOT(ISERROR(SEARCH("Yes",F55)))</formula>
    </cfRule>
  </conditionalFormatting>
  <conditionalFormatting sqref="K15 J51:J53">
    <cfRule type="containsText" dxfId="927" priority="87" operator="containsText" text="⚠">
      <formula>NOT(ISERROR(SEARCH("⚠",J15)))</formula>
    </cfRule>
  </conditionalFormatting>
  <conditionalFormatting sqref="B57:I57">
    <cfRule type="containsText" dxfId="926" priority="85" operator="containsText" text="▲">
      <formula>NOT(ISERROR(SEARCH("▲",B57)))</formula>
    </cfRule>
  </conditionalFormatting>
  <conditionalFormatting sqref="H28:I30">
    <cfRule type="containsText" dxfId="925" priority="83" operator="containsText" text="Check">
      <formula>NOT(ISERROR(SEARCH("Check",H28)))</formula>
    </cfRule>
    <cfRule type="containsText" dxfId="924" priority="84" operator="containsText" text="Error">
      <formula>NOT(ISERROR(SEARCH("Error",H28)))</formula>
    </cfRule>
  </conditionalFormatting>
  <conditionalFormatting sqref="H32:I34">
    <cfRule type="containsText" dxfId="923" priority="81" operator="containsText" text="Check">
      <formula>NOT(ISERROR(SEARCH("Check",H32)))</formula>
    </cfRule>
    <cfRule type="containsText" dxfId="922" priority="82" operator="containsText" text="Error">
      <formula>NOT(ISERROR(SEARCH("Error",H32)))</formula>
    </cfRule>
  </conditionalFormatting>
  <conditionalFormatting sqref="L20:M26">
    <cfRule type="containsText" dxfId="921" priority="79" operator="containsText" text="Check">
      <formula>NOT(ISERROR(SEARCH("Check",L20)))</formula>
    </cfRule>
    <cfRule type="containsText" dxfId="920" priority="80" operator="containsText" text="Error">
      <formula>NOT(ISERROR(SEARCH("Error",L20)))</formula>
    </cfRule>
  </conditionalFormatting>
  <conditionalFormatting sqref="D61:I63">
    <cfRule type="containsText" dxfId="919" priority="77" operator="containsText" text="Check">
      <formula>NOT(ISERROR(SEARCH("Check",D61)))</formula>
    </cfRule>
    <cfRule type="containsText" dxfId="918" priority="78" operator="containsText" text="Error">
      <formula>NOT(ISERROR(SEARCH("Error",D61)))</formula>
    </cfRule>
  </conditionalFormatting>
  <conditionalFormatting sqref="J61:K63">
    <cfRule type="containsBlanks" dxfId="917" priority="75">
      <formula>LEN(TRIM(J61))=0</formula>
    </cfRule>
    <cfRule type="containsText" dxfId="916" priority="76" operator="containsText" text="✓">
      <formula>NOT(ISERROR(SEARCH("✓",J61)))</formula>
    </cfRule>
  </conditionalFormatting>
  <conditionalFormatting sqref="B58:I58">
    <cfRule type="containsText" dxfId="915" priority="74" operator="containsText" text="▲">
      <formula>NOT(ISERROR(SEARCH("▲",B58)))</formula>
    </cfRule>
  </conditionalFormatting>
  <conditionalFormatting sqref="B56:I56">
    <cfRule type="containsText" dxfId="914" priority="73" operator="containsText" text="⚠">
      <formula>NOT(ISERROR(SEARCH("⚠",B56)))</formula>
    </cfRule>
  </conditionalFormatting>
  <conditionalFormatting sqref="F2:I5">
    <cfRule type="containsText" dxfId="913" priority="6" operator="containsText" text="▲">
      <formula>NOT(ISERROR(SEARCH("▲",F2)))</formula>
    </cfRule>
    <cfRule type="containsText" dxfId="912" priority="72" operator="containsText" text="⚠">
      <formula>NOT(ISERROR(SEARCH("⚠",F2)))</formula>
    </cfRule>
  </conditionalFormatting>
  <conditionalFormatting sqref="H51:I53">
    <cfRule type="cellIs" dxfId="911" priority="111" operator="lessThan">
      <formula>0</formula>
    </cfRule>
    <cfRule type="containsText" dxfId="910" priority="1" operator="containsText" text="N/A">
      <formula>NOT(ISERROR(SEARCH("N/A",H51)))</formula>
    </cfRule>
  </conditionalFormatting>
  <conditionalFormatting sqref="K16:K18">
    <cfRule type="containsText" dxfId="909" priority="68" operator="containsText" text="⚠">
      <formula>NOT(ISERROR(SEARCH("⚠",K16)))</formula>
    </cfRule>
    <cfRule type="containsText" dxfId="908" priority="3" operator="containsText" text="cannot be calculated">
      <formula>NOT(ISERROR(SEARCH("cannot be calculated",K16)))</formula>
    </cfRule>
  </conditionalFormatting>
  <conditionalFormatting sqref="J16">
    <cfRule type="cellIs" dxfId="907" priority="61" operator="lessThan">
      <formula>0</formula>
    </cfRule>
    <cfRule type="containsText" dxfId="906" priority="63" operator="containsText" text="Check">
      <formula>NOT(ISERROR(SEARCH("Check",J16)))</formula>
    </cfRule>
    <cfRule type="containsText" dxfId="905" priority="66" operator="containsText" text="Error">
      <formula>NOT(ISERROR(SEARCH("Error",J16)))</formula>
    </cfRule>
  </conditionalFormatting>
  <conditionalFormatting sqref="J16">
    <cfRule type="expression" dxfId="904" priority="64">
      <formula>AND($H$8&gt;0,$H$16&lt;0.1)</formula>
    </cfRule>
    <cfRule type="expression" dxfId="903" priority="65">
      <formula>AND($H$8&gt;0,$H$16&gt;=0.1)</formula>
    </cfRule>
  </conditionalFormatting>
  <conditionalFormatting sqref="J16:J18">
    <cfRule type="cellIs" dxfId="902" priority="55" operator="lessThan">
      <formula>0</formula>
    </cfRule>
    <cfRule type="containsText" dxfId="901" priority="57" operator="containsText" text="Check">
      <formula>NOT(ISERROR(SEARCH("Check",J16)))</formula>
    </cfRule>
    <cfRule type="containsText" dxfId="900" priority="60" operator="containsText" text="Error">
      <formula>NOT(ISERROR(SEARCH("Error",J16)))</formula>
    </cfRule>
    <cfRule type="containsText" dxfId="899" priority="4" operator="containsText" text="N/A">
      <formula>NOT(ISERROR(SEARCH("N/A",J16)))</formula>
    </cfRule>
  </conditionalFormatting>
  <conditionalFormatting sqref="J16:J18">
    <cfRule type="expression" dxfId="898" priority="58">
      <formula>AND($H$8&gt;0,$H$16&lt;0.1)</formula>
    </cfRule>
    <cfRule type="expression" dxfId="897" priority="59">
      <formula>AND($H$8&gt;0,$H$16&gt;=0.1)</formula>
    </cfRule>
  </conditionalFormatting>
  <conditionalFormatting sqref="J18">
    <cfRule type="cellIs" dxfId="896" priority="49" operator="lessThan">
      <formula>0</formula>
    </cfRule>
    <cfRule type="containsText" dxfId="895" priority="51" operator="containsText" text="Check">
      <formula>NOT(ISERROR(SEARCH("Check",J18)))</formula>
    </cfRule>
    <cfRule type="containsText" dxfId="894" priority="54" operator="containsText" text="Error">
      <formula>NOT(ISERROR(SEARCH("Error",J18)))</formula>
    </cfRule>
  </conditionalFormatting>
  <conditionalFormatting sqref="J18">
    <cfRule type="expression" dxfId="893" priority="52">
      <formula>AND($H$8&gt;0,$H$16&lt;0.1)</formula>
    </cfRule>
    <cfRule type="expression" dxfId="892" priority="53">
      <formula>AND($H$8&gt;0,$H$16&gt;=0.1)</formula>
    </cfRule>
  </conditionalFormatting>
  <conditionalFormatting sqref="H16:I18">
    <cfRule type="containsText" dxfId="891" priority="45" operator="containsText" text="Check">
      <formula>NOT(ISERROR(SEARCH("Check",H16)))</formula>
    </cfRule>
    <cfRule type="containsText" dxfId="890" priority="46" operator="containsText" text="Error">
      <formula>NOT(ISERROR(SEARCH("Error",H16)))</formula>
    </cfRule>
  </conditionalFormatting>
  <conditionalFormatting sqref="J28">
    <cfRule type="cellIs" dxfId="889" priority="37" operator="lessThan">
      <formula>0</formula>
    </cfRule>
    <cfRule type="containsText" dxfId="888" priority="39" operator="containsText" text="Check">
      <formula>NOT(ISERROR(SEARCH("Check",J28)))</formula>
    </cfRule>
    <cfRule type="containsText" dxfId="887" priority="42" operator="containsText" text="Error">
      <formula>NOT(ISERROR(SEARCH("Error",J28)))</formula>
    </cfRule>
  </conditionalFormatting>
  <conditionalFormatting sqref="J29">
    <cfRule type="cellIs" dxfId="886" priority="31" operator="lessThan">
      <formula>0</formula>
    </cfRule>
    <cfRule type="containsText" dxfId="885" priority="33" operator="containsText" text="Check">
      <formula>NOT(ISERROR(SEARCH("Check",J29)))</formula>
    </cfRule>
    <cfRule type="containsText" dxfId="884" priority="36" operator="containsText" text="Error">
      <formula>NOT(ISERROR(SEARCH("Error",J29)))</formula>
    </cfRule>
  </conditionalFormatting>
  <conditionalFormatting sqref="J30">
    <cfRule type="cellIs" dxfId="883" priority="25" operator="lessThan">
      <formula>0</formula>
    </cfRule>
    <cfRule type="containsText" dxfId="882" priority="27" operator="containsText" text="Check">
      <formula>NOT(ISERROR(SEARCH("Check",J30)))</formula>
    </cfRule>
    <cfRule type="containsText" dxfId="881" priority="30" operator="containsText" text="Error">
      <formula>NOT(ISERROR(SEARCH("Error",J30)))</formula>
    </cfRule>
  </conditionalFormatting>
  <conditionalFormatting sqref="D36 H36">
    <cfRule type="cellIs" dxfId="880" priority="24" operator="greaterThan">
      <formula>0</formula>
    </cfRule>
  </conditionalFormatting>
  <conditionalFormatting sqref="H37:I37">
    <cfRule type="cellIs" dxfId="879" priority="23" operator="equal">
      <formula>"Error"</formula>
    </cfRule>
  </conditionalFormatting>
  <conditionalFormatting sqref="H37:I39">
    <cfRule type="containsText" dxfId="878" priority="21" operator="containsText" text="Check">
      <formula>NOT(ISERROR(SEARCH("Check",H37)))</formula>
    </cfRule>
    <cfRule type="containsText" dxfId="877" priority="22" operator="containsText" text="Error">
      <formula>NOT(ISERROR(SEARCH("Error",H37)))</formula>
    </cfRule>
  </conditionalFormatting>
  <conditionalFormatting sqref="D35 H35">
    <cfRule type="cellIs" dxfId="876" priority="20" operator="greaterThan">
      <formula>0</formula>
    </cfRule>
  </conditionalFormatting>
  <conditionalFormatting sqref="L36">
    <cfRule type="cellIs" dxfId="875" priority="19" operator="greaterThan">
      <formula>0</formula>
    </cfRule>
  </conditionalFormatting>
  <conditionalFormatting sqref="D40 H40">
    <cfRule type="cellIs" dxfId="874" priority="15" operator="greaterThan">
      <formula>0</formula>
    </cfRule>
  </conditionalFormatting>
  <conditionalFormatting sqref="H41:I41">
    <cfRule type="cellIs" dxfId="873" priority="14" operator="equal">
      <formula>"Error"</formula>
    </cfRule>
  </conditionalFormatting>
  <conditionalFormatting sqref="H41:I43">
    <cfRule type="containsText" dxfId="872" priority="12" operator="containsText" text="Check">
      <formula>NOT(ISERROR(SEARCH("Check",H41)))</formula>
    </cfRule>
    <cfRule type="containsText" dxfId="871" priority="13" operator="containsText" text="Error">
      <formula>NOT(ISERROR(SEARCH("Error",H41)))</formula>
    </cfRule>
  </conditionalFormatting>
  <conditionalFormatting sqref="H20:I22">
    <cfRule type="cellIs" dxfId="870" priority="5" operator="lessThan">
      <formula>0</formula>
    </cfRule>
  </conditionalFormatting>
  <conditionalFormatting sqref="J51:K53">
    <cfRule type="containsText" dxfId="869" priority="2" operator="containsText" text="cannot be calculated">
      <formula>NOT(ISERROR(SEARCH("cannot be calculated",J51)))</formula>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22"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70"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20"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5" operator="equal" id="{6EEE2BFC-026C-4DBA-865F-850D56F4BDD9}">
            <xm:f>'G-1 All Habitats'!$X$6</xm:f>
            <x14:dxf>
              <fill>
                <patternFill>
                  <bgColor theme="7" tint="0.79998168889431442"/>
                </patternFill>
              </fill>
            </x14:dxf>
          </x14:cfRule>
          <x14:cfRule type="cellIs" priority="126" operator="equal" id="{B56D98BB-0AE5-4874-9D4E-3C4485D04071}">
            <xm:f>'G-1 All Habitats'!$X$7</xm:f>
            <x14:dxf>
              <fill>
                <patternFill>
                  <bgColor theme="4" tint="0.59996337778862885"/>
                </patternFill>
              </fill>
            </x14:dxf>
          </x14:cfRule>
          <x14:cfRule type="cellIs" priority="127" operator="equal" id="{E7D480FC-A0C4-44B1-A2E7-E2F87CB95EC5}">
            <xm:f>'G-1 All Habitats'!$X$5</xm:f>
            <x14:dxf>
              <fill>
                <patternFill>
                  <bgColor theme="7" tint="0.39994506668294322"/>
                </patternFill>
              </fill>
            </x14:dxf>
          </x14:cfRule>
          <x14:cfRule type="cellIs" priority="128" operator="equal" id="{90383316-2A46-4A3A-98B3-02D63A8114CA}">
            <xm:f>'G-1 All Habitats'!$X$4</xm:f>
            <x14:dxf>
              <fill>
                <patternFill>
                  <bgColor theme="5"/>
                </patternFill>
              </fill>
            </x14:dxf>
          </x14:cfRule>
          <x14:cfRule type="cellIs" priority="129" operator="equal" id="{24E51F1E-FA9B-4668-88E2-BBF17FE60338}">
            <xm:f>'G-1 All Habitats'!$X$3</xm:f>
            <x14:dxf>
              <font>
                <color theme="0"/>
              </font>
              <fill>
                <patternFill>
                  <bgColor rgb="FFC00000"/>
                </patternFill>
              </fill>
            </x14:dxf>
          </x14:cfRule>
          <xm:sqref>K50 K45:K46 K25:K31</xm:sqref>
        </x14:conditionalFormatting>
        <x14:conditionalFormatting xmlns:xm="http://schemas.microsoft.com/office/excel/2006/main">
          <x14:cfRule type="cellIs" priority="7" operator="equal" id="{34391782-A42B-48CB-9ACB-2E92103FAD17}">
            <xm:f>'G-1 All Habitats'!$X$6</xm:f>
            <x14:dxf>
              <fill>
                <patternFill>
                  <bgColor theme="7" tint="0.79998168889431442"/>
                </patternFill>
              </fill>
            </x14:dxf>
          </x14:cfRule>
          <x14:cfRule type="cellIs" priority="8" operator="equal" id="{CAC5EDAA-4B5F-4546-821F-1991FFC39B23}">
            <xm:f>'G-1 All Habitats'!$X$7</xm:f>
            <x14:dxf>
              <fill>
                <patternFill>
                  <bgColor theme="4" tint="0.59996337778862885"/>
                </patternFill>
              </fill>
            </x14:dxf>
          </x14:cfRule>
          <x14:cfRule type="cellIs" priority="9" operator="equal" id="{94843BC6-55B5-4209-A28E-6CCB4242554C}">
            <xm:f>'G-1 All Habitats'!$X$5</xm:f>
            <x14:dxf>
              <fill>
                <patternFill>
                  <bgColor theme="7" tint="0.39994506668294322"/>
                </patternFill>
              </fill>
            </x14:dxf>
          </x14:cfRule>
          <x14:cfRule type="cellIs" priority="10" operator="equal" id="{1148AB86-4D63-46F8-88F7-FE511952A740}">
            <xm:f>'G-1 All Habitats'!$X$4</xm:f>
            <x14:dxf>
              <fill>
                <patternFill>
                  <bgColor theme="5"/>
                </patternFill>
              </fill>
            </x14:dxf>
          </x14:cfRule>
          <x14:cfRule type="cellIs" priority="11"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4" operator="lessThan" id="{4ED278A4-2758-46C8-8477-466D168977ED}">
            <xm:f>Start!$F$22</xm:f>
            <x14:dxf>
              <font>
                <color rgb="FF000000"/>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4D4D4"/>
  </sheetPr>
  <dimension ref="A1:AG215"/>
  <sheetViews>
    <sheetView showRowColHeaders="0" zoomScale="80" zoomScaleNormal="80" workbookViewId="0"/>
  </sheetViews>
  <sheetFormatPr defaultColWidth="8.77734375" defaultRowHeight="13.8" x14ac:dyDescent="0.25"/>
  <cols>
    <col min="1" max="1" width="4.21875" style="618" customWidth="1"/>
    <col min="2" max="2" width="72.77734375" style="618" customWidth="1"/>
    <col min="3" max="3" width="13.77734375" style="618" customWidth="1"/>
    <col min="4" max="4" width="18.21875" style="618" customWidth="1"/>
    <col min="5" max="5" width="16" style="618" customWidth="1"/>
    <col min="6" max="6" width="14.5546875" style="618" customWidth="1"/>
    <col min="7" max="7" width="12.44140625" style="618" customWidth="1"/>
    <col min="8" max="8" width="15.5546875" style="618" customWidth="1"/>
    <col min="9" max="9" width="16.21875" style="618" customWidth="1"/>
    <col min="10" max="10" width="20.21875" style="618" customWidth="1"/>
    <col min="11" max="11" width="23.21875" style="618" customWidth="1"/>
    <col min="12" max="12" width="28.21875" style="618" customWidth="1"/>
    <col min="13" max="13" width="15" style="618" customWidth="1"/>
    <col min="14" max="14" width="16.21875" style="618" customWidth="1"/>
    <col min="15" max="15" width="11.21875" style="618" customWidth="1"/>
    <col min="16" max="16" width="16.21875" style="618" customWidth="1"/>
    <col min="17" max="17" width="14" style="618" customWidth="1"/>
    <col min="18" max="18" width="12.21875" style="618" customWidth="1"/>
    <col min="19" max="19" width="13.44140625" style="618" customWidth="1"/>
    <col min="20" max="20" width="10.5546875" style="618" customWidth="1"/>
    <col min="21" max="30" width="8.77734375" style="618"/>
    <col min="31" max="31" width="12.21875" style="618" customWidth="1"/>
    <col min="32" max="16384" width="8.77734375" style="618"/>
  </cols>
  <sheetData>
    <row r="1" spans="2:19" ht="15.75" customHeight="1" thickBot="1" x14ac:dyDescent="0.3"/>
    <row r="2" spans="2:19" ht="22.2" customHeight="1" thickBot="1" x14ac:dyDescent="0.3">
      <c r="B2" s="1222" t="str">
        <f>IF(Start!$F$12="","",Start!$F$12)</f>
        <v>Grove Farm Solar</v>
      </c>
      <c r="C2" s="1223"/>
      <c r="D2" s="1224"/>
    </row>
    <row r="3" spans="2:19" ht="19.95" customHeight="1" x14ac:dyDescent="0.25">
      <c r="B3" s="1239" t="str">
        <f ca="1">MID(CELL("filename",A1),FIND("]",CELL("filename",A1))+1,256)</f>
        <v>Detailed Results</v>
      </c>
      <c r="C3" s="1240"/>
      <c r="D3" s="1241"/>
    </row>
    <row r="4" spans="2:19" ht="21.6" customHeight="1" thickBot="1" x14ac:dyDescent="0.3">
      <c r="B4" s="1242"/>
      <c r="C4" s="1243"/>
      <c r="D4" s="1244"/>
    </row>
    <row r="5" spans="2:19" ht="15.75" customHeight="1" x14ac:dyDescent="0.25"/>
    <row r="6" spans="2:19" ht="25.5" customHeight="1" thickBot="1" x14ac:dyDescent="0.3"/>
    <row r="7" spans="2:19" ht="18.75" customHeight="1" x14ac:dyDescent="0.25">
      <c r="B7" s="1245" t="s">
        <v>95</v>
      </c>
      <c r="C7" s="1246"/>
    </row>
    <row r="8" spans="2:19" ht="20.25" customHeight="1" thickBot="1" x14ac:dyDescent="0.3">
      <c r="B8" s="1247"/>
      <c r="C8" s="1248"/>
    </row>
    <row r="9" spans="2:19" ht="15.75" customHeight="1" thickBot="1" x14ac:dyDescent="0.55000000000000004">
      <c r="B9" s="619"/>
      <c r="C9" s="619"/>
      <c r="O9" s="620"/>
      <c r="Q9" s="620"/>
      <c r="R9" s="620"/>
    </row>
    <row r="10" spans="2:19" ht="18" customHeight="1" x14ac:dyDescent="0.3">
      <c r="B10" s="1249" t="s">
        <v>96</v>
      </c>
      <c r="C10" s="1250"/>
      <c r="D10" s="1250"/>
      <c r="E10" s="1251"/>
      <c r="F10" s="1260" t="s">
        <v>75</v>
      </c>
      <c r="G10" s="1261"/>
      <c r="H10" s="1258">
        <f>IFERROR('Headline Results'!$H$47:$I$47,"Check Data ⚠")</f>
        <v>97.897490402123225</v>
      </c>
      <c r="I10" s="1259"/>
      <c r="J10" s="621"/>
      <c r="O10" s="620"/>
      <c r="P10" s="620"/>
      <c r="Q10" s="620"/>
      <c r="R10" s="620"/>
      <c r="S10" s="620"/>
    </row>
    <row r="11" spans="2:19" ht="15.75" customHeight="1" x14ac:dyDescent="0.3">
      <c r="B11" s="1252"/>
      <c r="C11" s="1253"/>
      <c r="D11" s="1253"/>
      <c r="E11" s="1254"/>
      <c r="F11" s="1264" t="s">
        <v>76</v>
      </c>
      <c r="G11" s="1271"/>
      <c r="H11" s="1269">
        <f>IFERROR('Headline Results'!$H$48:$I$48,"Check Data ⚠")</f>
        <v>16.669627715952004</v>
      </c>
      <c r="I11" s="1270"/>
    </row>
    <row r="12" spans="2:19" ht="18.600000000000001" customHeight="1" thickBot="1" x14ac:dyDescent="0.35">
      <c r="B12" s="1255"/>
      <c r="C12" s="1256"/>
      <c r="D12" s="1256"/>
      <c r="E12" s="1257"/>
      <c r="F12" s="1225" t="s">
        <v>77</v>
      </c>
      <c r="G12" s="1226"/>
      <c r="H12" s="1233">
        <f>IFERROR('Headline Results'!$H$49:$I$49,"Check Data ⚠")</f>
        <v>0</v>
      </c>
      <c r="I12" s="1234"/>
    </row>
    <row r="13" spans="2:19" ht="15.75" customHeight="1" thickBot="1" x14ac:dyDescent="0.3"/>
    <row r="14" spans="2:19" ht="18.75" customHeight="1" x14ac:dyDescent="0.25">
      <c r="B14" s="1249" t="s">
        <v>97</v>
      </c>
      <c r="C14" s="1250"/>
      <c r="D14" s="1250"/>
      <c r="E14" s="1251"/>
      <c r="F14" s="1260" t="s">
        <v>75</v>
      </c>
      <c r="G14" s="1268"/>
      <c r="H14" s="1266">
        <f>IFERROR('Headline Results'!$H$51:$I$51,"Check Data ⚠")</f>
        <v>1.012467323068333</v>
      </c>
      <c r="I14" s="1267"/>
    </row>
    <row r="15" spans="2:19" ht="18.75" customHeight="1" x14ac:dyDescent="0.25">
      <c r="B15" s="1252"/>
      <c r="C15" s="1253"/>
      <c r="D15" s="1253"/>
      <c r="E15" s="1254"/>
      <c r="F15" s="1264" t="s">
        <v>76</v>
      </c>
      <c r="G15" s="1265"/>
      <c r="H15" s="1262">
        <f>IFERROR('Headline Results'!$H$52:$I$52,"Check Data ⚠")</f>
        <v>1.0264549086177341</v>
      </c>
      <c r="I15" s="1263"/>
    </row>
    <row r="16" spans="2:19" ht="18.75" customHeight="1" thickBot="1" x14ac:dyDescent="0.3">
      <c r="B16" s="1255"/>
      <c r="C16" s="1256"/>
      <c r="D16" s="1256"/>
      <c r="E16" s="1257"/>
      <c r="F16" s="1225" t="s">
        <v>77</v>
      </c>
      <c r="G16" s="1274"/>
      <c r="H16" s="1272">
        <f>IFERROR('Headline Results'!$H$53:$I$53,"Check Data ⚠")</f>
        <v>0</v>
      </c>
      <c r="I16" s="1273"/>
    </row>
    <row r="17" spans="2:9" ht="18.75" customHeight="1" thickBot="1" x14ac:dyDescent="0.3"/>
    <row r="18" spans="2:9" ht="25.5" customHeight="1" x14ac:dyDescent="0.25">
      <c r="B18" s="1278" t="s">
        <v>98</v>
      </c>
      <c r="C18" s="1278"/>
      <c r="D18" s="1278"/>
      <c r="E18" s="1278"/>
      <c r="F18" s="1278"/>
      <c r="G18" s="1278"/>
      <c r="H18" s="1278"/>
      <c r="I18" s="1278"/>
    </row>
    <row r="19" spans="2:9" ht="22.5" customHeight="1" thickBot="1" x14ac:dyDescent="0.3">
      <c r="B19" s="1279"/>
      <c r="C19" s="1279"/>
      <c r="D19" s="1279"/>
      <c r="E19" s="1279"/>
      <c r="F19" s="1279"/>
      <c r="G19" s="1279"/>
      <c r="H19" s="1279"/>
      <c r="I19" s="1279"/>
    </row>
    <row r="20" spans="2:9" ht="18.75" customHeight="1" thickBot="1" x14ac:dyDescent="0.55000000000000004">
      <c r="B20" s="1282"/>
      <c r="C20" s="1282"/>
      <c r="D20" s="1277" t="s">
        <v>99</v>
      </c>
      <c r="E20" s="1277"/>
      <c r="F20" s="1277" t="s">
        <v>53</v>
      </c>
      <c r="G20" s="1277"/>
      <c r="H20" s="1277" t="s">
        <v>59</v>
      </c>
      <c r="I20" s="1277"/>
    </row>
    <row r="21" spans="2:9" ht="18.75" customHeight="1" x14ac:dyDescent="0.25">
      <c r="B21" s="1283" t="s">
        <v>100</v>
      </c>
      <c r="C21" s="1284"/>
      <c r="D21" s="1275">
        <f>IF(AND($K$40=0,'A-1 On-Site Habitat Baseline'!Y11:Y258&lt;&gt;"No",'D-1 Off-Site Habitat Baseline'!AB11:AB258&lt;&gt;"No"),'A-1 On-Site Habitat Baseline'!$H259+'D-1 Off-Site Habitat Baseline'!H259,"Error ▲")</f>
        <v>46.795000000000009</v>
      </c>
      <c r="E21" s="1275"/>
      <c r="F21" s="1280">
        <f>'B-1 On-Site Hedge Baseline'!$E$258+'E-1 Off-Site Hedge Baseline'!$E$258</f>
        <v>2.54</v>
      </c>
      <c r="G21" s="1280"/>
      <c r="H21" s="1280">
        <f>'C-1 On-Site WaterC'' Baseline'!$E$258+'F-1 Off-Site WaterC'' Baseline'!$E$258</f>
        <v>0</v>
      </c>
      <c r="I21" s="1288"/>
    </row>
    <row r="22" spans="2:9" ht="18.75" customHeight="1" thickBot="1" x14ac:dyDescent="0.3">
      <c r="B22" s="1285" t="s">
        <v>101</v>
      </c>
      <c r="C22" s="1286"/>
      <c r="D22" s="1276">
        <f>IF(AND($K$40=0,'A-1 On-Site Habitat Baseline'!Y11:Y258&lt;&gt;"No",'D-1 Off-Site Habitat Baseline'!AB11:AB258&lt;&gt;"No"),'A-1 On-Site Habitat Baseline'!$Q259+'D-1 Off-Site Habitat Baseline'!T259,"Error ▲")</f>
        <v>96.691999999999979</v>
      </c>
      <c r="E22" s="1276"/>
      <c r="F22" s="1281">
        <f>'B-1 On-Site Hedge Baseline'!$N$258+'E-1 Off-Site Hedge Baseline'!$Q$258</f>
        <v>16.240000000000002</v>
      </c>
      <c r="G22" s="1281"/>
      <c r="H22" s="1281">
        <f>'C-1 On-Site WaterC'' Baseline'!$R$258+'F-1 Off-Site WaterC'' Baseline'!$U$258</f>
        <v>0</v>
      </c>
      <c r="I22" s="1289"/>
    </row>
    <row r="23" spans="2:9" ht="18.75" customHeight="1" thickBot="1" x14ac:dyDescent="0.3">
      <c r="D23" s="621"/>
      <c r="F23" s="621"/>
      <c r="H23" s="621"/>
    </row>
    <row r="24" spans="2:9" ht="18.75" customHeight="1" x14ac:dyDescent="0.25">
      <c r="B24" s="1283" t="s">
        <v>102</v>
      </c>
      <c r="C24" s="1284"/>
      <c r="D24" s="1275">
        <f>IF(AND($K$40=0,'A-1 On-Site Habitat Baseline'!Y11:Y258&lt;&gt;"No",'D-1 Off-Site Habitat Baseline'!AB11:AB258&lt;&gt;"No"),'A-1 On-Site Habitat Baseline'!$S259+'D-1 Off-Site Habitat Baseline'!V259,"Error ▲")</f>
        <v>0.85699999999999998</v>
      </c>
      <c r="E24" s="1275"/>
      <c r="F24" s="1280">
        <f>'B-1 On-Site Hedge Baseline'!$P$258+'E-1 Off-Site Hedge Baseline'!$S$258</f>
        <v>2.54</v>
      </c>
      <c r="G24" s="1280"/>
      <c r="H24" s="1280">
        <f>'C-1 On-Site WaterC'' Baseline'!T258+'F-1 Off-Site WaterC'' Baseline'!W258</f>
        <v>0</v>
      </c>
      <c r="I24" s="1288"/>
    </row>
    <row r="25" spans="2:9" ht="18.75" customHeight="1" thickBot="1" x14ac:dyDescent="0.3">
      <c r="B25" s="1285" t="s">
        <v>103</v>
      </c>
      <c r="C25" s="1286"/>
      <c r="D25" s="1276">
        <f>IF(AND($K$40=0,'A-1 On-Site Habitat Baseline'!Y11:Y258&lt;&gt;"No",'D-1 Off-Site Habitat Baseline'!AB11:AB258&lt;&gt;"No"),'A-1 On-Site Habitat Baseline'!$U259+'D-1 Off-Site Habitat Baseline'!X259,"Error ▲")</f>
        <v>5.5839999999999996</v>
      </c>
      <c r="E25" s="1276"/>
      <c r="F25" s="1281">
        <f>'B-1 On-Site Hedge Baseline'!R258+'E-1 Off-Site Hedge Baseline'!U258</f>
        <v>16.240000000000002</v>
      </c>
      <c r="G25" s="1281"/>
      <c r="H25" s="1281">
        <f>'C-1 On-Site WaterC'' Baseline'!V258+'F-1 Off-Site WaterC'' Baseline'!Y258</f>
        <v>0</v>
      </c>
      <c r="I25" s="1289"/>
    </row>
    <row r="26" spans="2:9" ht="18.75" customHeight="1" thickBot="1" x14ac:dyDescent="0.3">
      <c r="D26" s="621"/>
      <c r="F26" s="621"/>
      <c r="H26" s="621"/>
    </row>
    <row r="27" spans="2:9" ht="18.75" customHeight="1" x14ac:dyDescent="0.25">
      <c r="B27" s="1283" t="s">
        <v>104</v>
      </c>
      <c r="C27" s="1284"/>
      <c r="D27" s="1275">
        <f>IF(AND($K$40=0,'A-1 On-Site Habitat Baseline'!Y11:Y258&lt;&gt;"No",'D-1 Off-Site Habitat Baseline'!AB11:AB258&lt;&gt;"No"),'A-1 On-Site Habitat Baseline'!$T259+'D-1 Off-Site Habitat Baseline'!W259,"Error ▲")</f>
        <v>0</v>
      </c>
      <c r="E27" s="1275"/>
      <c r="F27" s="1280">
        <f>'B-1 On-Site Hedge Baseline'!$Q$258+'E-1 Off-Site Hedge Baseline'!$T$258</f>
        <v>0</v>
      </c>
      <c r="G27" s="1280"/>
      <c r="H27" s="1280">
        <f>'C-1 On-Site WaterC'' Baseline'!U258+'F-1 Off-Site WaterC'' Baseline'!X258</f>
        <v>0</v>
      </c>
      <c r="I27" s="1288"/>
    </row>
    <row r="28" spans="2:9" ht="18.75" customHeight="1" thickBot="1" x14ac:dyDescent="0.3">
      <c r="B28" s="1285" t="s">
        <v>105</v>
      </c>
      <c r="C28" s="1286"/>
      <c r="D28" s="1276">
        <f>IF(AND($K$40=0,'A-1 On-Site Habitat Baseline'!Y11:Y258&lt;&gt;"No",'D-1 Off-Site Habitat Baseline'!AB11:AB258&lt;&gt;"No"),'A-1 On-Site Habitat Baseline'!$V259+'D-1 Off-Site Habitat Baseline'!Y259,"Error ▲")</f>
        <v>0</v>
      </c>
      <c r="E28" s="1276"/>
      <c r="F28" s="1281">
        <f>'B-1 On-Site Hedge Baseline'!$S$258+'E-1 Off-Site Hedge Baseline'!$V$258</f>
        <v>0</v>
      </c>
      <c r="G28" s="1281"/>
      <c r="H28" s="1281">
        <f>'C-1 On-Site WaterC'' Baseline'!W258+'F-1 Off-Site WaterC'' Baseline'!Z258</f>
        <v>0</v>
      </c>
      <c r="I28" s="1289"/>
    </row>
    <row r="29" spans="2:9" ht="18.75" customHeight="1" thickBot="1" x14ac:dyDescent="0.3">
      <c r="D29" s="621"/>
      <c r="F29" s="621"/>
      <c r="H29" s="621"/>
    </row>
    <row r="30" spans="2:9" ht="18.75" customHeight="1" x14ac:dyDescent="0.25">
      <c r="B30" s="1283" t="s">
        <v>106</v>
      </c>
      <c r="C30" s="1284"/>
      <c r="D30" s="1275">
        <f>IF(AND($K$40=0,'A-1 On-Site Habitat Baseline'!Y11:Y258&lt;&gt;"No",'D-1 Off-Site Habitat Baseline'!AB11:AB258&lt;&gt;"No"),'A-1 On-Site Habitat Baseline'!$W259+'D-1 Off-Site Habitat Baseline'!Z259,"Error ▲")</f>
        <v>45.938000000000002</v>
      </c>
      <c r="E30" s="1275"/>
      <c r="F30" s="1280">
        <f>'B-1 On-Site Hedge Baseline'!$T$258+'E-1 Off-Site Hedge Baseline'!$W$258</f>
        <v>0</v>
      </c>
      <c r="G30" s="1280"/>
      <c r="H30" s="1280">
        <f>'C-1 On-Site WaterC'' Baseline'!X258+'F-1 Off-Site WaterC'' Baseline'!AA258</f>
        <v>0</v>
      </c>
      <c r="I30" s="1288"/>
    </row>
    <row r="31" spans="2:9" ht="18.75" customHeight="1" thickBot="1" x14ac:dyDescent="0.3">
      <c r="B31" s="1285" t="s">
        <v>107</v>
      </c>
      <c r="C31" s="1286"/>
      <c r="D31" s="1276">
        <f>IF(AND($K$40=0,'A-1 On-Site Habitat Baseline'!Y11:Y258&lt;&gt;"No",'D-1 Off-Site Habitat Baseline'!AB11:AB258&lt;&gt;"No"),'A-1 On-Site Habitat Baseline'!$X259+'D-1 Off-Site Habitat Baseline'!AA259,"Error ▲")</f>
        <v>91.10799999999999</v>
      </c>
      <c r="E31" s="1276"/>
      <c r="F31" s="1281">
        <f>'B-1 On-Site Hedge Baseline'!$U$258+'E-1 Off-Site Hedge Baseline'!$X$258</f>
        <v>0</v>
      </c>
      <c r="G31" s="1281"/>
      <c r="H31" s="1281">
        <f>'C-1 On-Site WaterC'' Baseline'!Y258+'F-1 Off-Site WaterC'' Baseline'!AB258</f>
        <v>0</v>
      </c>
      <c r="I31" s="1289"/>
    </row>
    <row r="32" spans="2:9" ht="25.95" customHeight="1" thickBot="1" x14ac:dyDescent="0.3">
      <c r="C32" s="621"/>
      <c r="D32" s="621"/>
      <c r="E32" s="621"/>
    </row>
    <row r="33" spans="1:22" s="622" customFormat="1" ht="43.95" customHeight="1" thickTop="1" thickBot="1" x14ac:dyDescent="0.3">
      <c r="A33" s="1291" t="s">
        <v>108</v>
      </c>
      <c r="C33" s="623"/>
      <c r="D33" s="623"/>
      <c r="E33" s="623"/>
    </row>
    <row r="34" spans="1:22" ht="25.8" thickBot="1" x14ac:dyDescent="0.5">
      <c r="A34" s="1292"/>
      <c r="B34" s="624" t="s">
        <v>45</v>
      </c>
    </row>
    <row r="35" spans="1:22" ht="18.75" customHeight="1" thickBot="1" x14ac:dyDescent="0.3">
      <c r="A35" s="1292"/>
    </row>
    <row r="36" spans="1:22" ht="22.2" customHeight="1" thickBot="1" x14ac:dyDescent="0.35">
      <c r="A36" s="1292"/>
      <c r="B36" s="1213" t="s">
        <v>109</v>
      </c>
      <c r="C36" s="1213"/>
      <c r="D36" s="1213"/>
      <c r="E36" s="1213"/>
      <c r="F36" s="1213"/>
      <c r="G36" s="1213"/>
      <c r="H36" s="1213"/>
      <c r="J36" s="1227" t="s">
        <v>110</v>
      </c>
      <c r="K36" s="1228"/>
      <c r="L36" s="1229"/>
    </row>
    <row r="37" spans="1:22" ht="34.200000000000003" customHeight="1" thickBot="1" x14ac:dyDescent="0.3">
      <c r="A37" s="1292"/>
      <c r="B37" s="625"/>
      <c r="C37" s="1208" t="s">
        <v>111</v>
      </c>
      <c r="D37" s="1208"/>
      <c r="E37" s="1208" t="s">
        <v>112</v>
      </c>
      <c r="F37" s="1208"/>
      <c r="G37" s="1208" t="s">
        <v>113</v>
      </c>
      <c r="H37" s="1208"/>
      <c r="J37" s="1230"/>
      <c r="K37" s="1231"/>
      <c r="L37" s="1232"/>
      <c r="U37" s="1207"/>
      <c r="V37" s="1207"/>
    </row>
    <row r="38" spans="1:22" ht="52.95" customHeight="1" thickBot="1" x14ac:dyDescent="0.3">
      <c r="A38" s="1292"/>
      <c r="B38" s="635" t="s">
        <v>114</v>
      </c>
      <c r="C38" s="636" t="s">
        <v>115</v>
      </c>
      <c r="D38" s="636" t="s">
        <v>116</v>
      </c>
      <c r="E38" s="636" t="s">
        <v>117</v>
      </c>
      <c r="F38" s="636" t="s">
        <v>118</v>
      </c>
      <c r="G38" s="636" t="s">
        <v>119</v>
      </c>
      <c r="H38" s="636" t="s">
        <v>120</v>
      </c>
      <c r="J38" s="1217" t="s">
        <v>121</v>
      </c>
      <c r="K38" s="1235" t="s">
        <v>122</v>
      </c>
      <c r="L38" s="1237" t="s">
        <v>123</v>
      </c>
      <c r="U38" s="1207"/>
      <c r="V38" s="1207"/>
    </row>
    <row r="39" spans="1:22" ht="15.6" x14ac:dyDescent="0.25">
      <c r="A39" s="1292"/>
      <c r="B39" s="637" t="s">
        <v>124</v>
      </c>
      <c r="C39" s="638">
        <f>'G-2 Habitat groups'!$AK$4</f>
        <v>16.273</v>
      </c>
      <c r="D39" s="638">
        <f>'G-2 Habitat groups'!$AL$4</f>
        <v>32.545999999999999</v>
      </c>
      <c r="E39" s="638">
        <f>'G-2 Habitat groups'!$AM$4</f>
        <v>0.17499999999999999</v>
      </c>
      <c r="F39" s="638">
        <f>'G-2 Habitat groups'!$AN$4</f>
        <v>0.34187999999999996</v>
      </c>
      <c r="G39" s="638">
        <f>E39-C39</f>
        <v>-16.097999999999999</v>
      </c>
      <c r="H39" s="639">
        <f>F39-D39</f>
        <v>-32.204119999999996</v>
      </c>
      <c r="J39" s="1218"/>
      <c r="K39" s="1236"/>
      <c r="L39" s="1238"/>
    </row>
    <row r="40" spans="1:22" ht="15.6" x14ac:dyDescent="0.25">
      <c r="A40" s="1292"/>
      <c r="B40" s="640" t="s">
        <v>125</v>
      </c>
      <c r="C40" s="628">
        <f>'G-2 Habitat groups'!$AK$5</f>
        <v>29.661000000000001</v>
      </c>
      <c r="D40" s="628">
        <f>'G-2 Habitat groups'!$AL$5</f>
        <v>61.362000000000002</v>
      </c>
      <c r="E40" s="628">
        <f>'G-2 Habitat groups'!$AM$5</f>
        <v>42.995000000000005</v>
      </c>
      <c r="F40" s="628">
        <f>'G-2 Habitat groups'!$AN$5</f>
        <v>181.31072774346643</v>
      </c>
      <c r="G40" s="628">
        <f t="shared" ref="G40:G50" si="0">E40-C40</f>
        <v>13.334000000000003</v>
      </c>
      <c r="H40" s="629">
        <f t="shared" ref="H40:H50" si="1">F40-D40</f>
        <v>119.94872774346643</v>
      </c>
      <c r="J40" s="1211" t="str">
        <f>'G-1 All Habitats'!$V$3</f>
        <v>V.High</v>
      </c>
      <c r="K40" s="1220">
        <f>SUMIF('A-1 On-Site Habitat Baseline'!$I$11:$I$258,'Detailed Results'!J40,'A-1 On-Site Habitat Baseline'!$W$11:$W$258)+SUMIF('D-1 Off-Site Habitat Baseline'!$I$11:$I$258,'Detailed Results'!J40,'D-1 Off-Site Habitat Baseline'!$Z$11:$Z$258)</f>
        <v>0</v>
      </c>
      <c r="L40" s="1209" t="str">
        <f>IF(K40=0,"",(K40/(SUM($K$40:$K$49)))*100)</f>
        <v/>
      </c>
    </row>
    <row r="41" spans="1:22" ht="15.6" x14ac:dyDescent="0.25">
      <c r="A41" s="1292"/>
      <c r="B41" s="640" t="s">
        <v>126</v>
      </c>
      <c r="C41" s="628">
        <f>'G-2 Habitat groups'!$AK$6</f>
        <v>2.3E-2</v>
      </c>
      <c r="D41" s="628">
        <f>'G-2 Habitat groups'!$AL$6</f>
        <v>0.184</v>
      </c>
      <c r="E41" s="628">
        <f>'G-2 Habitat groups'!$AM$6</f>
        <v>0.66100000000000003</v>
      </c>
      <c r="F41" s="628">
        <f>'G-2 Habitat groups'!$AN$6</f>
        <v>4.4251501687728005</v>
      </c>
      <c r="G41" s="628">
        <f t="shared" si="0"/>
        <v>0.63800000000000001</v>
      </c>
      <c r="H41" s="629">
        <f t="shared" si="1"/>
        <v>4.2411501687728004</v>
      </c>
      <c r="J41" s="1212"/>
      <c r="K41" s="1287"/>
      <c r="L41" s="1210"/>
    </row>
    <row r="42" spans="1:22" ht="15.6" x14ac:dyDescent="0.25">
      <c r="A42" s="1292"/>
      <c r="B42" s="640" t="s">
        <v>127</v>
      </c>
      <c r="C42" s="628">
        <f>'G-2 Habitat groups'!$AK$7</f>
        <v>0</v>
      </c>
      <c r="D42" s="628">
        <f>'G-2 Habitat groups'!$AL$7</f>
        <v>0</v>
      </c>
      <c r="E42" s="628">
        <f>'G-2 Habitat groups'!$AM$7</f>
        <v>0</v>
      </c>
      <c r="F42" s="628">
        <f>'G-2 Habitat groups'!$AN$7</f>
        <v>0</v>
      </c>
      <c r="G42" s="628">
        <f t="shared" si="0"/>
        <v>0</v>
      </c>
      <c r="H42" s="629">
        <f t="shared" si="1"/>
        <v>0</v>
      </c>
      <c r="J42" s="1211" t="str">
        <f>'G-1 All Habitats'!$V$4</f>
        <v>High</v>
      </c>
      <c r="K42" s="1220">
        <f>SUMIF('A-1 On-Site Habitat Baseline'!$I$11:$I$258,'Detailed Results'!J42,'A-1 On-Site Habitat Baseline'!$W$11:$W$258)+SUMIF('D-1 Off-Site Habitat Baseline'!$I$11:$I$258,'Detailed Results'!J42,'D-1 Off-Site Habitat Baseline'!$Z$11:$Z$258)</f>
        <v>0</v>
      </c>
      <c r="L42" s="1209" t="str">
        <f>IF(K42=0,"",(K42/(SUM($K$40:$K$49)))*100)</f>
        <v/>
      </c>
    </row>
    <row r="43" spans="1:22" ht="15.6" x14ac:dyDescent="0.25">
      <c r="A43" s="1292"/>
      <c r="B43" s="640" t="s">
        <v>128</v>
      </c>
      <c r="C43" s="628">
        <f>'G-2 Habitat groups'!$AK$8</f>
        <v>0</v>
      </c>
      <c r="D43" s="628">
        <f>'G-2 Habitat groups'!$AL$8</f>
        <v>0</v>
      </c>
      <c r="E43" s="628">
        <f>'G-2 Habitat groups'!$AM$8</f>
        <v>0</v>
      </c>
      <c r="F43" s="628">
        <f>'G-2 Habitat groups'!$AN$8</f>
        <v>0</v>
      </c>
      <c r="G43" s="628">
        <f t="shared" si="0"/>
        <v>0</v>
      </c>
      <c r="H43" s="629">
        <f t="shared" si="1"/>
        <v>0</v>
      </c>
      <c r="J43" s="1212"/>
      <c r="K43" s="1287"/>
      <c r="L43" s="1210"/>
    </row>
    <row r="44" spans="1:22" ht="15.6" x14ac:dyDescent="0.25">
      <c r="A44" s="1292"/>
      <c r="B44" s="640" t="s">
        <v>129</v>
      </c>
      <c r="C44" s="628">
        <f>'G-2 Habitat groups'!$AK$9</f>
        <v>0.51300000000000001</v>
      </c>
      <c r="D44" s="628">
        <f>'G-2 Habitat groups'!$AL$9</f>
        <v>0</v>
      </c>
      <c r="E44" s="628">
        <f>'G-2 Habitat groups'!$AM$9</f>
        <v>1.3779999999999999</v>
      </c>
      <c r="F44" s="628">
        <f>'G-2 Habitat groups'!$AN$9</f>
        <v>0</v>
      </c>
      <c r="G44" s="628">
        <f t="shared" si="0"/>
        <v>0.86499999999999988</v>
      </c>
      <c r="H44" s="629">
        <f t="shared" si="1"/>
        <v>0</v>
      </c>
      <c r="J44" s="1211" t="str">
        <f>'G-1 All Habitats'!$V5</f>
        <v>Medium</v>
      </c>
      <c r="K44" s="1220">
        <f>SUMIF('A-1 On-Site Habitat Baseline'!$I$11:$I$258,'Detailed Results'!J44,'A-1 On-Site Habitat Baseline'!$W$11:$W$258)+SUMIF('D-1 Off-Site Habitat Baseline'!$I$11:$I$258,'Detailed Results'!J44,'D-1 Off-Site Habitat Baseline'!$Z$11:$Z$258)</f>
        <v>2.3E-2</v>
      </c>
      <c r="L44" s="1209">
        <f>IF(K44=0,"",(K44/(SUM($K$40:$K$49)))*100)</f>
        <v>5.0067482258696498E-2</v>
      </c>
    </row>
    <row r="45" spans="1:22" ht="15.6" x14ac:dyDescent="0.25">
      <c r="A45" s="1292"/>
      <c r="B45" s="640" t="s">
        <v>130</v>
      </c>
      <c r="C45" s="628">
        <f>'G-2 Habitat groups'!$AK$10</f>
        <v>0</v>
      </c>
      <c r="D45" s="628">
        <f>'G-2 Habitat groups'!$AL$10</f>
        <v>0</v>
      </c>
      <c r="E45" s="628">
        <f>'G-2 Habitat groups'!$AM$10</f>
        <v>0</v>
      </c>
      <c r="F45" s="628">
        <f>'G-2 Habitat groups'!$AN$10</f>
        <v>0</v>
      </c>
      <c r="G45" s="628">
        <f t="shared" si="0"/>
        <v>0</v>
      </c>
      <c r="H45" s="629">
        <f t="shared" si="1"/>
        <v>0</v>
      </c>
      <c r="J45" s="1212"/>
      <c r="K45" s="1287"/>
      <c r="L45" s="1210"/>
    </row>
    <row r="46" spans="1:22" ht="15.6" x14ac:dyDescent="0.25">
      <c r="A46" s="1292"/>
      <c r="B46" s="640" t="s">
        <v>131</v>
      </c>
      <c r="C46" s="628">
        <f>'G-2 Habitat groups'!$AK$11</f>
        <v>0.32500000000000001</v>
      </c>
      <c r="D46" s="628">
        <f>'G-2 Habitat groups'!$AL$11</f>
        <v>2.6</v>
      </c>
      <c r="E46" s="628">
        <f>'G-2 Habitat groups'!$AM$11</f>
        <v>1.5860000000000001</v>
      </c>
      <c r="F46" s="628">
        <f>'G-2 Habitat groups'!$AN$11</f>
        <v>8.5117324898840021</v>
      </c>
      <c r="G46" s="628">
        <f t="shared" si="0"/>
        <v>1.2610000000000001</v>
      </c>
      <c r="H46" s="629">
        <f t="shared" si="1"/>
        <v>5.9117324898840025</v>
      </c>
      <c r="J46" s="1211" t="str">
        <f>'G-1 All Habitats'!$V$6</f>
        <v>Low</v>
      </c>
      <c r="K46" s="1220">
        <f>SUMIF('A-1 On-Site Habitat Baseline'!$I$11:$I$258,'Detailed Results'!J46,'A-1 On-Site Habitat Baseline'!$W$11:$W$258)+SUMIF('D-1 Off-Site Habitat Baseline'!$I$11:$I$258,'Detailed Results'!J46,'D-1 Off-Site Habitat Baseline'!$Z$11:$Z$258)</f>
        <v>45.461999999999996</v>
      </c>
      <c r="L46" s="1209">
        <f>IF(K46=0,"",(K46/(SUM($K$40:$K$49)))*100)</f>
        <v>98.963820801950448</v>
      </c>
    </row>
    <row r="47" spans="1:22" ht="15.6" x14ac:dyDescent="0.25">
      <c r="A47" s="1292"/>
      <c r="B47" s="641" t="s">
        <v>132</v>
      </c>
      <c r="C47" s="628">
        <f>'G-2 Habitat groups'!$AK$12</f>
        <v>0</v>
      </c>
      <c r="D47" s="628">
        <f>'G-2 Habitat groups'!$AL$12</f>
        <v>0</v>
      </c>
      <c r="E47" s="628">
        <f>'G-2 Habitat groups'!$AM$12</f>
        <v>0</v>
      </c>
      <c r="F47" s="628">
        <f>'G-2 Habitat groups'!$AN$12</f>
        <v>0</v>
      </c>
      <c r="G47" s="628">
        <f t="shared" si="0"/>
        <v>0</v>
      </c>
      <c r="H47" s="629">
        <f t="shared" si="1"/>
        <v>0</v>
      </c>
      <c r="J47" s="1212"/>
      <c r="K47" s="1287"/>
      <c r="L47" s="1210"/>
    </row>
    <row r="48" spans="1:22" ht="15.6" x14ac:dyDescent="0.25">
      <c r="A48" s="1292"/>
      <c r="B48" s="641" t="s">
        <v>133</v>
      </c>
      <c r="C48" s="628">
        <f>'G-2 Habitat groups'!$AK$13</f>
        <v>0</v>
      </c>
      <c r="D48" s="628">
        <f>'G-2 Habitat groups'!$AL$13</f>
        <v>0</v>
      </c>
      <c r="E48" s="628">
        <f>'G-2 Habitat groups'!$AM$13</f>
        <v>0</v>
      </c>
      <c r="F48" s="628">
        <f>'G-2 Habitat groups'!$AN$13</f>
        <v>0</v>
      </c>
      <c r="G48" s="628">
        <f t="shared" si="0"/>
        <v>0</v>
      </c>
      <c r="H48" s="629">
        <f t="shared" si="1"/>
        <v>0</v>
      </c>
      <c r="J48" s="1211" t="str">
        <f>'G-1 All Habitats'!$V$7</f>
        <v>V.Low</v>
      </c>
      <c r="K48" s="1220">
        <f>SUMIF('A-1 On-Site Habitat Baseline'!$I$11:$I$258,'Detailed Results'!J48,'A-1 On-Site Habitat Baseline'!$W$11:$W$258)+SUMIF('D-1 Off-Site Habitat Baseline'!$I$11:$I$258,'Detailed Results'!J48,'D-1 Off-Site Habitat Baseline'!$Z$11:$Z$258)</f>
        <v>0.45300000000000007</v>
      </c>
      <c r="L48" s="1209">
        <f>IF(K48=0,"",(K48/(SUM($K$40:$K$49)))*100)</f>
        <v>0.98611171579084855</v>
      </c>
    </row>
    <row r="49" spans="1:33" ht="16.2" thickBot="1" x14ac:dyDescent="0.3">
      <c r="A49" s="1292"/>
      <c r="B49" s="641" t="s">
        <v>134</v>
      </c>
      <c r="C49" s="628">
        <f>'G-2 Habitat groups'!$AK$14</f>
        <v>0</v>
      </c>
      <c r="D49" s="628">
        <f>'G-2 Habitat groups'!$AL$14</f>
        <v>0</v>
      </c>
      <c r="E49" s="628">
        <f>'G-2 Habitat groups'!$AM$14</f>
        <v>0</v>
      </c>
      <c r="F49" s="628">
        <f>'G-2 Habitat groups'!$AN$14</f>
        <v>0</v>
      </c>
      <c r="G49" s="628">
        <f t="shared" si="0"/>
        <v>0</v>
      </c>
      <c r="H49" s="629">
        <f t="shared" si="1"/>
        <v>0</v>
      </c>
      <c r="J49" s="1290"/>
      <c r="K49" s="1221"/>
      <c r="L49" s="1219"/>
    </row>
    <row r="50" spans="1:33" ht="15.6" x14ac:dyDescent="0.25">
      <c r="A50" s="1292"/>
      <c r="B50" s="641" t="s">
        <v>135</v>
      </c>
      <c r="C50" s="628">
        <f>'G-2 Habitat groups'!$AK$15</f>
        <v>0</v>
      </c>
      <c r="D50" s="628">
        <f>'G-2 Habitat groups'!$AL$15</f>
        <v>0</v>
      </c>
      <c r="E50" s="628">
        <f>'G-2 Habitat groups'!$AM$15</f>
        <v>0</v>
      </c>
      <c r="F50" s="628">
        <f>'G-2 Habitat groups'!$AN$15</f>
        <v>0</v>
      </c>
      <c r="G50" s="628">
        <f t="shared" si="0"/>
        <v>0</v>
      </c>
      <c r="H50" s="629">
        <f t="shared" si="1"/>
        <v>0</v>
      </c>
    </row>
    <row r="51" spans="1:33" ht="15.6" x14ac:dyDescent="0.25">
      <c r="A51" s="1292"/>
      <c r="B51" s="641" t="s">
        <v>136</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x14ac:dyDescent="0.25">
      <c r="A52" s="1292"/>
      <c r="B52" s="652" t="s">
        <v>137</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x14ac:dyDescent="0.3">
      <c r="A53" s="1292"/>
      <c r="B53" s="653" t="s">
        <v>138</v>
      </c>
      <c r="C53" s="630">
        <f>'G-2 Habitat groups'!$AK$17</f>
        <v>0</v>
      </c>
      <c r="D53" s="630">
        <f>'G-2 Habitat groups'!$AL$17</f>
        <v>0</v>
      </c>
      <c r="E53" s="630">
        <f>'G-2 Habitat groups'!$AM$17</f>
        <v>0</v>
      </c>
      <c r="F53" s="630">
        <f>'G-2 Habitat groups'!$AN$17</f>
        <v>0</v>
      </c>
      <c r="G53" s="630">
        <f t="shared" si="2"/>
        <v>0</v>
      </c>
      <c r="H53" s="631">
        <f t="shared" si="2"/>
        <v>0</v>
      </c>
    </row>
    <row r="54" spans="1:33" ht="15.75" customHeight="1" x14ac:dyDescent="0.25">
      <c r="A54" s="1292"/>
    </row>
    <row r="55" spans="1:33" ht="10.199999999999999" customHeight="1" thickBot="1" x14ac:dyDescent="0.3">
      <c r="A55" s="1292"/>
    </row>
    <row r="56" spans="1:33" ht="22.95" customHeight="1" thickBot="1" x14ac:dyDescent="0.5">
      <c r="A56" s="1292"/>
      <c r="B56" s="1213" t="s">
        <v>139</v>
      </c>
      <c r="C56" s="1213"/>
      <c r="D56" s="1213"/>
      <c r="E56" s="1213"/>
      <c r="F56" s="1213"/>
      <c r="G56" s="1213"/>
      <c r="H56" s="1213"/>
      <c r="I56" s="632"/>
      <c r="J56" s="632"/>
      <c r="K56" s="632"/>
      <c r="L56" s="632"/>
      <c r="M56" s="632"/>
    </row>
    <row r="57" spans="1:33" s="634" customFormat="1" ht="38.25" customHeight="1" thickBot="1" x14ac:dyDescent="0.3">
      <c r="A57" s="1292"/>
      <c r="B57" s="625"/>
      <c r="C57" s="1208" t="s">
        <v>111</v>
      </c>
      <c r="D57" s="1208"/>
      <c r="E57" s="1208" t="s">
        <v>140</v>
      </c>
      <c r="F57" s="1208"/>
      <c r="G57" s="1208" t="s">
        <v>141</v>
      </c>
      <c r="H57" s="1208"/>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x14ac:dyDescent="0.3">
      <c r="A58" s="1292"/>
      <c r="B58" s="635" t="s">
        <v>114</v>
      </c>
      <c r="C58" s="636" t="s">
        <v>142</v>
      </c>
      <c r="D58" s="636" t="s">
        <v>143</v>
      </c>
      <c r="E58" s="636" t="s">
        <v>144</v>
      </c>
      <c r="F58" s="636" t="s">
        <v>145</v>
      </c>
      <c r="G58" s="636" t="s">
        <v>146</v>
      </c>
      <c r="H58" s="636" t="s">
        <v>147</v>
      </c>
      <c r="I58" s="633"/>
      <c r="J58" s="633"/>
    </row>
    <row r="59" spans="1:33" ht="15.6" x14ac:dyDescent="0.25">
      <c r="A59" s="1292"/>
      <c r="B59" s="637" t="s">
        <v>124</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6" x14ac:dyDescent="0.25">
      <c r="A60" s="1292"/>
      <c r="B60" s="640" t="s">
        <v>125</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x14ac:dyDescent="0.25">
      <c r="A61" s="1292"/>
      <c r="B61" s="640" t="s">
        <v>126</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6" x14ac:dyDescent="0.25">
      <c r="A62" s="1292"/>
      <c r="B62" s="640" t="s">
        <v>127</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6" x14ac:dyDescent="0.25">
      <c r="A63" s="1292"/>
      <c r="B63" s="640" t="s">
        <v>128</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6" x14ac:dyDescent="0.25">
      <c r="A64" s="1292"/>
      <c r="B64" s="640" t="s">
        <v>129</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6" x14ac:dyDescent="0.25">
      <c r="A65" s="1292"/>
      <c r="B65" s="640" t="s">
        <v>130</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6" x14ac:dyDescent="0.25">
      <c r="A66" s="1292"/>
      <c r="B66" s="640" t="s">
        <v>131</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x14ac:dyDescent="0.25">
      <c r="A67" s="1292"/>
      <c r="B67" s="641" t="s">
        <v>132</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x14ac:dyDescent="0.25">
      <c r="A68" s="1292"/>
      <c r="B68" s="641" t="s">
        <v>133</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x14ac:dyDescent="0.25">
      <c r="A69" s="1292"/>
      <c r="B69" s="641" t="s">
        <v>134</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x14ac:dyDescent="0.25">
      <c r="A70" s="1292"/>
      <c r="B70" s="641" t="s">
        <v>135</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x14ac:dyDescent="0.25">
      <c r="A71" s="1292"/>
      <c r="B71" s="641" t="s">
        <v>136</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x14ac:dyDescent="0.25">
      <c r="A72" s="1292"/>
      <c r="B72" s="654" t="s">
        <v>137</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x14ac:dyDescent="0.3">
      <c r="A73" s="1292"/>
      <c r="B73" s="642" t="s">
        <v>138</v>
      </c>
      <c r="C73" s="628">
        <f>'G-2 Habitat groups'!$AK$34</f>
        <v>0</v>
      </c>
      <c r="D73" s="628">
        <f>'G-2 Habitat groups'!$AL$34</f>
        <v>0</v>
      </c>
      <c r="E73" s="628">
        <f>'G-2 Habitat groups'!$AM$34</f>
        <v>0</v>
      </c>
      <c r="F73" s="628">
        <f>'G-2 Habitat groups'!$AN$34</f>
        <v>0</v>
      </c>
      <c r="G73" s="628">
        <f>E73-C73</f>
        <v>0</v>
      </c>
      <c r="H73" s="629">
        <f>F73-D73</f>
        <v>0</v>
      </c>
      <c r="I73" s="633"/>
      <c r="J73" s="633"/>
    </row>
    <row r="74" spans="1:10" ht="10.95" customHeight="1" thickBot="1" x14ac:dyDescent="0.3">
      <c r="A74" s="1292"/>
      <c r="B74" s="633"/>
      <c r="C74" s="633"/>
      <c r="D74" s="633"/>
      <c r="E74" s="633"/>
      <c r="F74" s="633"/>
      <c r="G74" s="633"/>
      <c r="H74" s="633"/>
      <c r="I74" s="633"/>
      <c r="J74" s="633"/>
    </row>
    <row r="75" spans="1:10" ht="18" thickBot="1" x14ac:dyDescent="0.35">
      <c r="A75" s="1292"/>
      <c r="B75" s="1213" t="s">
        <v>148</v>
      </c>
      <c r="C75" s="1213"/>
      <c r="D75" s="1213"/>
      <c r="E75" s="1213"/>
      <c r="F75" s="1213"/>
      <c r="G75" s="1213"/>
      <c r="H75" s="1213"/>
      <c r="I75" s="633"/>
      <c r="J75" s="633"/>
    </row>
    <row r="76" spans="1:10" ht="33.6" customHeight="1" thickBot="1" x14ac:dyDescent="0.3">
      <c r="A76" s="1292"/>
      <c r="B76" s="625"/>
      <c r="C76" s="1208" t="s">
        <v>111</v>
      </c>
      <c r="D76" s="1208"/>
      <c r="E76" s="1208" t="s">
        <v>149</v>
      </c>
      <c r="F76" s="1208"/>
      <c r="G76" s="1208" t="s">
        <v>150</v>
      </c>
      <c r="H76" s="1208"/>
      <c r="I76" s="633"/>
      <c r="J76" s="633"/>
    </row>
    <row r="77" spans="1:10" ht="45.6" customHeight="1" thickBot="1" x14ac:dyDescent="0.3">
      <c r="A77" s="1292"/>
      <c r="B77" s="635" t="s">
        <v>114</v>
      </c>
      <c r="C77" s="636" t="s">
        <v>151</v>
      </c>
      <c r="D77" s="636" t="s">
        <v>152</v>
      </c>
      <c r="E77" s="636" t="s">
        <v>153</v>
      </c>
      <c r="F77" s="636" t="s">
        <v>154</v>
      </c>
      <c r="G77" s="636" t="s">
        <v>155</v>
      </c>
      <c r="H77" s="636" t="s">
        <v>156</v>
      </c>
      <c r="I77" s="633"/>
      <c r="J77" s="633"/>
    </row>
    <row r="78" spans="1:10" ht="15.75" customHeight="1" x14ac:dyDescent="0.25">
      <c r="A78" s="1292"/>
      <c r="B78" s="637" t="s">
        <v>124</v>
      </c>
      <c r="C78" s="638">
        <f t="shared" ref="C78:H91" si="6">C39+C59</f>
        <v>16.273</v>
      </c>
      <c r="D78" s="638">
        <f t="shared" si="6"/>
        <v>32.545999999999999</v>
      </c>
      <c r="E78" s="638">
        <f t="shared" si="6"/>
        <v>0.17499999999999999</v>
      </c>
      <c r="F78" s="638">
        <f t="shared" si="6"/>
        <v>0.34187999999999996</v>
      </c>
      <c r="G78" s="638">
        <f t="shared" si="6"/>
        <v>-16.097999999999999</v>
      </c>
      <c r="H78" s="639">
        <f t="shared" si="6"/>
        <v>-32.204119999999996</v>
      </c>
      <c r="I78" s="633"/>
      <c r="J78" s="633"/>
    </row>
    <row r="79" spans="1:10" ht="15.75" customHeight="1" x14ac:dyDescent="0.25">
      <c r="A79" s="1292"/>
      <c r="B79" s="640" t="s">
        <v>125</v>
      </c>
      <c r="C79" s="628">
        <f t="shared" si="6"/>
        <v>29.661000000000001</v>
      </c>
      <c r="D79" s="628">
        <f t="shared" si="6"/>
        <v>61.362000000000002</v>
      </c>
      <c r="E79" s="628">
        <f t="shared" si="6"/>
        <v>42.995000000000005</v>
      </c>
      <c r="F79" s="628">
        <f t="shared" si="6"/>
        <v>181.31072774346643</v>
      </c>
      <c r="G79" s="628">
        <f t="shared" si="6"/>
        <v>13.334000000000003</v>
      </c>
      <c r="H79" s="629">
        <f t="shared" si="6"/>
        <v>119.94872774346643</v>
      </c>
      <c r="I79" s="633"/>
      <c r="J79" s="633"/>
    </row>
    <row r="80" spans="1:10" ht="15.75" customHeight="1" x14ac:dyDescent="0.25">
      <c r="A80" s="1292"/>
      <c r="B80" s="640" t="s">
        <v>126</v>
      </c>
      <c r="C80" s="628">
        <f t="shared" si="6"/>
        <v>2.3E-2</v>
      </c>
      <c r="D80" s="628">
        <f t="shared" si="6"/>
        <v>0.184</v>
      </c>
      <c r="E80" s="628">
        <f t="shared" si="6"/>
        <v>0.66100000000000003</v>
      </c>
      <c r="F80" s="628">
        <f t="shared" si="6"/>
        <v>4.4251501687728005</v>
      </c>
      <c r="G80" s="628">
        <f t="shared" si="6"/>
        <v>0.63800000000000001</v>
      </c>
      <c r="H80" s="629">
        <f t="shared" si="6"/>
        <v>4.2411501687728004</v>
      </c>
      <c r="I80" s="633"/>
      <c r="J80" s="633"/>
    </row>
    <row r="81" spans="1:10" ht="15.75" customHeight="1" x14ac:dyDescent="0.25">
      <c r="A81" s="1292"/>
      <c r="B81" s="640" t="s">
        <v>127</v>
      </c>
      <c r="C81" s="628">
        <f t="shared" si="6"/>
        <v>0</v>
      </c>
      <c r="D81" s="628">
        <f t="shared" si="6"/>
        <v>0</v>
      </c>
      <c r="E81" s="628">
        <f t="shared" si="6"/>
        <v>0</v>
      </c>
      <c r="F81" s="628">
        <f t="shared" si="6"/>
        <v>0</v>
      </c>
      <c r="G81" s="628">
        <f t="shared" si="6"/>
        <v>0</v>
      </c>
      <c r="H81" s="629">
        <f t="shared" si="6"/>
        <v>0</v>
      </c>
      <c r="I81" s="633"/>
      <c r="J81" s="633"/>
    </row>
    <row r="82" spans="1:10" ht="15.75" customHeight="1" x14ac:dyDescent="0.25">
      <c r="A82" s="1292"/>
      <c r="B82" s="640" t="s">
        <v>128</v>
      </c>
      <c r="C82" s="628">
        <f t="shared" si="6"/>
        <v>0</v>
      </c>
      <c r="D82" s="628">
        <f t="shared" si="6"/>
        <v>0</v>
      </c>
      <c r="E82" s="628">
        <f t="shared" si="6"/>
        <v>0</v>
      </c>
      <c r="F82" s="628">
        <f t="shared" si="6"/>
        <v>0</v>
      </c>
      <c r="G82" s="628">
        <f t="shared" si="6"/>
        <v>0</v>
      </c>
      <c r="H82" s="629">
        <f t="shared" si="6"/>
        <v>0</v>
      </c>
      <c r="I82" s="633"/>
      <c r="J82" s="633"/>
    </row>
    <row r="83" spans="1:10" ht="15.75" customHeight="1" x14ac:dyDescent="0.25">
      <c r="A83" s="1292"/>
      <c r="B83" s="640" t="s">
        <v>129</v>
      </c>
      <c r="C83" s="628">
        <f t="shared" si="6"/>
        <v>0.51300000000000001</v>
      </c>
      <c r="D83" s="628">
        <f t="shared" si="6"/>
        <v>0</v>
      </c>
      <c r="E83" s="628">
        <f t="shared" si="6"/>
        <v>1.3779999999999999</v>
      </c>
      <c r="F83" s="628">
        <f t="shared" si="6"/>
        <v>0</v>
      </c>
      <c r="G83" s="628">
        <f t="shared" si="6"/>
        <v>0.86499999999999988</v>
      </c>
      <c r="H83" s="629">
        <f t="shared" si="6"/>
        <v>0</v>
      </c>
      <c r="I83" s="633"/>
      <c r="J83" s="633"/>
    </row>
    <row r="84" spans="1:10" ht="15.75" customHeight="1" x14ac:dyDescent="0.25">
      <c r="A84" s="1292"/>
      <c r="B84" s="640" t="s">
        <v>130</v>
      </c>
      <c r="C84" s="628">
        <f t="shared" si="6"/>
        <v>0</v>
      </c>
      <c r="D84" s="628">
        <f t="shared" si="6"/>
        <v>0</v>
      </c>
      <c r="E84" s="628">
        <f t="shared" si="6"/>
        <v>0</v>
      </c>
      <c r="F84" s="628">
        <f t="shared" si="6"/>
        <v>0</v>
      </c>
      <c r="G84" s="628">
        <f t="shared" si="6"/>
        <v>0</v>
      </c>
      <c r="H84" s="629">
        <f t="shared" si="6"/>
        <v>0</v>
      </c>
      <c r="I84" s="633"/>
      <c r="J84" s="633"/>
    </row>
    <row r="85" spans="1:10" ht="18" customHeight="1" x14ac:dyDescent="0.25">
      <c r="A85" s="1292"/>
      <c r="B85" s="640" t="s">
        <v>131</v>
      </c>
      <c r="C85" s="628">
        <f t="shared" si="6"/>
        <v>0.32500000000000001</v>
      </c>
      <c r="D85" s="628">
        <f t="shared" si="6"/>
        <v>2.6</v>
      </c>
      <c r="E85" s="628">
        <f t="shared" si="6"/>
        <v>1.5860000000000001</v>
      </c>
      <c r="F85" s="628">
        <f t="shared" si="6"/>
        <v>8.5117324898840021</v>
      </c>
      <c r="G85" s="628">
        <f t="shared" si="6"/>
        <v>1.2610000000000001</v>
      </c>
      <c r="H85" s="629">
        <f t="shared" si="6"/>
        <v>5.9117324898840025</v>
      </c>
      <c r="I85" s="633"/>
      <c r="J85" s="633"/>
    </row>
    <row r="86" spans="1:10" ht="15.6" x14ac:dyDescent="0.25">
      <c r="A86" s="1292"/>
      <c r="B86" s="641" t="s">
        <v>132</v>
      </c>
      <c r="C86" s="628">
        <f t="shared" si="6"/>
        <v>0</v>
      </c>
      <c r="D86" s="628">
        <f t="shared" si="6"/>
        <v>0</v>
      </c>
      <c r="E86" s="628">
        <f t="shared" si="6"/>
        <v>0</v>
      </c>
      <c r="F86" s="628">
        <f t="shared" si="6"/>
        <v>0</v>
      </c>
      <c r="G86" s="628">
        <f t="shared" si="6"/>
        <v>0</v>
      </c>
      <c r="H86" s="629">
        <f t="shared" si="6"/>
        <v>0</v>
      </c>
      <c r="I86" s="633"/>
      <c r="J86" s="633"/>
    </row>
    <row r="87" spans="1:10" ht="15.6" x14ac:dyDescent="0.25">
      <c r="A87" s="1292"/>
      <c r="B87" s="641" t="s">
        <v>133</v>
      </c>
      <c r="C87" s="628">
        <f t="shared" si="6"/>
        <v>0</v>
      </c>
      <c r="D87" s="628">
        <f t="shared" si="6"/>
        <v>0</v>
      </c>
      <c r="E87" s="628">
        <f t="shared" si="6"/>
        <v>0</v>
      </c>
      <c r="F87" s="628">
        <f t="shared" si="6"/>
        <v>0</v>
      </c>
      <c r="G87" s="628">
        <f t="shared" si="6"/>
        <v>0</v>
      </c>
      <c r="H87" s="629">
        <f t="shared" si="6"/>
        <v>0</v>
      </c>
      <c r="I87" s="633"/>
      <c r="J87" s="633"/>
    </row>
    <row r="88" spans="1:10" ht="15.6" x14ac:dyDescent="0.25">
      <c r="A88" s="1292"/>
      <c r="B88" s="641" t="s">
        <v>134</v>
      </c>
      <c r="C88" s="628">
        <f t="shared" si="6"/>
        <v>0</v>
      </c>
      <c r="D88" s="628">
        <f t="shared" si="6"/>
        <v>0</v>
      </c>
      <c r="E88" s="628">
        <f t="shared" si="6"/>
        <v>0</v>
      </c>
      <c r="F88" s="628">
        <f t="shared" si="6"/>
        <v>0</v>
      </c>
      <c r="G88" s="628">
        <f t="shared" si="6"/>
        <v>0</v>
      </c>
      <c r="H88" s="629">
        <f t="shared" si="6"/>
        <v>0</v>
      </c>
      <c r="I88" s="633"/>
      <c r="J88" s="633"/>
    </row>
    <row r="89" spans="1:10" ht="15.6" x14ac:dyDescent="0.25">
      <c r="A89" s="1292"/>
      <c r="B89" s="641" t="s">
        <v>135</v>
      </c>
      <c r="C89" s="628">
        <f t="shared" si="6"/>
        <v>0</v>
      </c>
      <c r="D89" s="628">
        <f t="shared" si="6"/>
        <v>0</v>
      </c>
      <c r="E89" s="628">
        <f t="shared" si="6"/>
        <v>0</v>
      </c>
      <c r="F89" s="628">
        <f t="shared" si="6"/>
        <v>0</v>
      </c>
      <c r="G89" s="628">
        <f t="shared" si="6"/>
        <v>0</v>
      </c>
      <c r="H89" s="629">
        <f t="shared" si="6"/>
        <v>0</v>
      </c>
      <c r="I89" s="633"/>
      <c r="J89" s="633"/>
    </row>
    <row r="90" spans="1:10" ht="15.6" x14ac:dyDescent="0.25">
      <c r="A90" s="1292"/>
      <c r="B90" s="641" t="s">
        <v>136</v>
      </c>
      <c r="C90" s="628">
        <f t="shared" si="6"/>
        <v>0</v>
      </c>
      <c r="D90" s="628">
        <f t="shared" si="6"/>
        <v>0</v>
      </c>
      <c r="E90" s="628">
        <f t="shared" si="6"/>
        <v>0</v>
      </c>
      <c r="F90" s="628">
        <f t="shared" si="6"/>
        <v>0</v>
      </c>
      <c r="G90" s="628">
        <f t="shared" si="6"/>
        <v>0</v>
      </c>
      <c r="H90" s="629">
        <f t="shared" si="6"/>
        <v>0</v>
      </c>
      <c r="I90" s="633"/>
      <c r="J90" s="633"/>
    </row>
    <row r="91" spans="1:10" ht="16.05" customHeight="1" x14ac:dyDescent="0.25">
      <c r="A91" s="1292"/>
      <c r="B91" s="654" t="s">
        <v>137</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x14ac:dyDescent="0.3">
      <c r="A92" s="1293"/>
      <c r="B92" s="653" t="s">
        <v>138</v>
      </c>
      <c r="C92" s="630">
        <f t="shared" ref="C92:H92" si="7">C53+C73</f>
        <v>0</v>
      </c>
      <c r="D92" s="630">
        <f t="shared" si="7"/>
        <v>0</v>
      </c>
      <c r="E92" s="630">
        <f t="shared" si="7"/>
        <v>0</v>
      </c>
      <c r="F92" s="630">
        <f t="shared" si="7"/>
        <v>0</v>
      </c>
      <c r="G92" s="630">
        <f t="shared" si="7"/>
        <v>0</v>
      </c>
      <c r="H92" s="631">
        <f t="shared" si="7"/>
        <v>0</v>
      </c>
    </row>
    <row r="93" spans="1:10" ht="37.950000000000003" customHeight="1" thickTop="1" thickBot="1" x14ac:dyDescent="0.3">
      <c r="A93" s="1294" t="s">
        <v>157</v>
      </c>
    </row>
    <row r="94" spans="1:10" ht="25.8" thickBot="1" x14ac:dyDescent="0.5">
      <c r="A94" s="1295"/>
      <c r="B94" s="1214" t="s">
        <v>158</v>
      </c>
      <c r="C94" s="1215"/>
      <c r="D94" s="1216"/>
    </row>
    <row r="95" spans="1:10" x14ac:dyDescent="0.25">
      <c r="A95" s="1295"/>
    </row>
    <row r="96" spans="1:10" ht="15" customHeight="1" thickBot="1" x14ac:dyDescent="0.3">
      <c r="A96" s="1295"/>
    </row>
    <row r="97" spans="1:12" ht="18" customHeight="1" thickBot="1" x14ac:dyDescent="0.35">
      <c r="A97" s="1295"/>
      <c r="B97" s="1213" t="s">
        <v>159</v>
      </c>
      <c r="C97" s="1213"/>
      <c r="D97" s="1213"/>
      <c r="E97" s="1213"/>
      <c r="F97" s="1213"/>
      <c r="G97" s="1213"/>
      <c r="H97" s="1213"/>
      <c r="J97" s="1227" t="s">
        <v>160</v>
      </c>
      <c r="K97" s="1228"/>
      <c r="L97" s="1229"/>
    </row>
    <row r="98" spans="1:12" ht="16.2" customHeight="1" thickBot="1" x14ac:dyDescent="0.3">
      <c r="A98" s="1295"/>
      <c r="B98" s="625"/>
      <c r="C98" s="1208" t="s">
        <v>111</v>
      </c>
      <c r="D98" s="1208"/>
      <c r="E98" s="1208" t="s">
        <v>112</v>
      </c>
      <c r="F98" s="1208"/>
      <c r="G98" s="1208" t="s">
        <v>113</v>
      </c>
      <c r="H98" s="1208"/>
      <c r="J98" s="1230"/>
      <c r="K98" s="1231"/>
      <c r="L98" s="1232"/>
    </row>
    <row r="99" spans="1:12" ht="47.4" thickBot="1" x14ac:dyDescent="0.3">
      <c r="A99" s="1295"/>
      <c r="B99" s="626" t="s">
        <v>161</v>
      </c>
      <c r="C99" s="625" t="s">
        <v>162</v>
      </c>
      <c r="D99" s="625" t="s">
        <v>116</v>
      </c>
      <c r="E99" s="625" t="s">
        <v>163</v>
      </c>
      <c r="F99" s="625" t="s">
        <v>118</v>
      </c>
      <c r="G99" s="625" t="s">
        <v>164</v>
      </c>
      <c r="H99" s="625" t="s">
        <v>120</v>
      </c>
      <c r="J99" s="1217" t="s">
        <v>121</v>
      </c>
      <c r="K99" s="1235" t="s">
        <v>165</v>
      </c>
      <c r="L99" s="1237" t="s">
        <v>166</v>
      </c>
    </row>
    <row r="100" spans="1:12" ht="15.6" x14ac:dyDescent="0.25">
      <c r="A100" s="1295"/>
      <c r="B100" s="644" t="s">
        <v>167</v>
      </c>
      <c r="C100" s="627">
        <f>'G-2 Habitat groups'!E150</f>
        <v>0</v>
      </c>
      <c r="D100" s="627">
        <f>'G-2 Habitat groups'!F150</f>
        <v>0</v>
      </c>
      <c r="E100" s="627">
        <f>'G-2 Habitat groups'!O150</f>
        <v>0</v>
      </c>
      <c r="F100" s="627">
        <f>'G-2 Habitat groups'!P150</f>
        <v>0</v>
      </c>
      <c r="G100" s="627">
        <f>E100-C100</f>
        <v>0</v>
      </c>
      <c r="H100" s="627">
        <f t="shared" ref="H100:H112" si="8">F100-D100</f>
        <v>0</v>
      </c>
      <c r="J100" s="1218"/>
      <c r="K100" s="1236"/>
      <c r="L100" s="1238"/>
    </row>
    <row r="101" spans="1:12" ht="15.6" x14ac:dyDescent="0.25">
      <c r="A101" s="1295"/>
      <c r="B101" s="645" t="s">
        <v>168</v>
      </c>
      <c r="C101" s="627">
        <f>'G-2 Habitat groups'!E151</f>
        <v>0</v>
      </c>
      <c r="D101" s="627">
        <f>'G-2 Habitat groups'!F151</f>
        <v>0</v>
      </c>
      <c r="E101" s="627">
        <f>'G-2 Habitat groups'!O151</f>
        <v>0</v>
      </c>
      <c r="F101" s="627">
        <f>'G-2 Habitat groups'!P151</f>
        <v>0</v>
      </c>
      <c r="G101" s="627">
        <f t="shared" ref="G101:G112" si="9">E101-C101</f>
        <v>0</v>
      </c>
      <c r="H101" s="627">
        <f t="shared" si="8"/>
        <v>0</v>
      </c>
      <c r="J101" s="1211" t="str">
        <f>'G-1 All Habitats'!$V$3</f>
        <v>V.High</v>
      </c>
      <c r="K101" s="1220">
        <f>SUMIF('B-1 On-Site Hedge Baseline'!$F$10:$F$257,'Detailed Results'!J101,'B-1 On-Site Hedge Baseline'!$T$10:$T$257)+SUMIF('E-1 Off-Site Hedge Baseline'!$F$10:$F$257,'Detailed Results'!J101,'E-1 Off-Site Hedge Baseline'!$W$10:$W$257)</f>
        <v>0</v>
      </c>
      <c r="L101" s="1209" t="str">
        <f>IF(K101=0,"",(K101/(SUM($K$101:$K$110)))*100)</f>
        <v/>
      </c>
    </row>
    <row r="102" spans="1:12" ht="15.6" x14ac:dyDescent="0.25">
      <c r="A102" s="1295"/>
      <c r="B102" s="645" t="s">
        <v>169</v>
      </c>
      <c r="C102" s="627">
        <f>'G-2 Habitat groups'!E152</f>
        <v>0</v>
      </c>
      <c r="D102" s="627">
        <f>'G-2 Habitat groups'!F152</f>
        <v>0</v>
      </c>
      <c r="E102" s="627">
        <f>'G-2 Habitat groups'!O152</f>
        <v>0</v>
      </c>
      <c r="F102" s="627">
        <f>'G-2 Habitat groups'!P152</f>
        <v>0</v>
      </c>
      <c r="G102" s="627">
        <f t="shared" si="9"/>
        <v>0</v>
      </c>
      <c r="H102" s="627">
        <f t="shared" si="8"/>
        <v>0</v>
      </c>
      <c r="J102" s="1212"/>
      <c r="K102" s="1287"/>
      <c r="L102" s="1210"/>
    </row>
    <row r="103" spans="1:12" ht="15.6" x14ac:dyDescent="0.25">
      <c r="A103" s="1295"/>
      <c r="B103" s="645" t="s">
        <v>170</v>
      </c>
      <c r="C103" s="627">
        <f>'G-2 Habitat groups'!E153</f>
        <v>0</v>
      </c>
      <c r="D103" s="627">
        <f>'G-2 Habitat groups'!F153</f>
        <v>0</v>
      </c>
      <c r="E103" s="627">
        <f>'G-2 Habitat groups'!O153</f>
        <v>0</v>
      </c>
      <c r="F103" s="627">
        <f>'G-2 Habitat groups'!P153</f>
        <v>0</v>
      </c>
      <c r="G103" s="627">
        <f t="shared" si="9"/>
        <v>0</v>
      </c>
      <c r="H103" s="627">
        <f t="shared" si="8"/>
        <v>0</v>
      </c>
      <c r="J103" s="1211" t="str">
        <f>'G-1 All Habitats'!$V$4</f>
        <v>High</v>
      </c>
      <c r="K103" s="1220">
        <f>SUMIF('B-1 On-Site Hedge Baseline'!$F$10:$F$257,'Detailed Results'!J103,'B-1 On-Site Hedge Baseline'!$T$10:$T$257)+SUMIF('E-1 Off-Site Hedge Baseline'!$F$10:$F$257,'Detailed Results'!J103,'E-1 Off-Site Hedge Baseline'!$W$10:$W$257)</f>
        <v>0</v>
      </c>
      <c r="L103" s="1209" t="str">
        <f>IF(K103=0,"",(K103/(SUM($K$101:$K$110)))*100)</f>
        <v/>
      </c>
    </row>
    <row r="104" spans="1:12" ht="15.6" x14ac:dyDescent="0.25">
      <c r="A104" s="1295"/>
      <c r="B104" s="645" t="s">
        <v>171</v>
      </c>
      <c r="C104" s="627">
        <f>'G-2 Habitat groups'!E154</f>
        <v>0</v>
      </c>
      <c r="D104" s="627">
        <f>'G-2 Habitat groups'!F154</f>
        <v>0</v>
      </c>
      <c r="E104" s="627">
        <f>'G-2 Habitat groups'!O154</f>
        <v>2.4900000000000002</v>
      </c>
      <c r="F104" s="627">
        <f>'G-2 Habitat groups'!P154</f>
        <v>16.669627715952004</v>
      </c>
      <c r="G104" s="627">
        <f t="shared" si="9"/>
        <v>2.4900000000000002</v>
      </c>
      <c r="H104" s="627">
        <f t="shared" si="8"/>
        <v>16.669627715952004</v>
      </c>
      <c r="J104" s="1212"/>
      <c r="K104" s="1287"/>
      <c r="L104" s="1210"/>
    </row>
    <row r="105" spans="1:12" ht="15.6" x14ac:dyDescent="0.25">
      <c r="A105" s="1295"/>
      <c r="B105" s="645" t="s">
        <v>172</v>
      </c>
      <c r="C105" s="627">
        <f>'G-2 Habitat groups'!E155</f>
        <v>0</v>
      </c>
      <c r="D105" s="627">
        <f>'G-2 Habitat groups'!F155</f>
        <v>0</v>
      </c>
      <c r="E105" s="627">
        <f>'G-2 Habitat groups'!O155</f>
        <v>0</v>
      </c>
      <c r="F105" s="627">
        <f>'G-2 Habitat groups'!P155</f>
        <v>0</v>
      </c>
      <c r="G105" s="627">
        <f t="shared" si="9"/>
        <v>0</v>
      </c>
      <c r="H105" s="627">
        <f t="shared" si="8"/>
        <v>0</v>
      </c>
      <c r="J105" s="1211" t="str">
        <f>'G-1 All Habitats'!$V$5</f>
        <v>Medium</v>
      </c>
      <c r="K105" s="1220">
        <f>SUMIF('B-1 On-Site Hedge Baseline'!$F$10:$F$257,'Detailed Results'!J105,'B-1 On-Site Hedge Baseline'!$T$10:$T$257)+SUMIF('E-1 Off-Site Hedge Baseline'!$F$10:$F$257,'Detailed Results'!J105,'E-1 Off-Site Hedge Baseline'!$W$10:$W$257)</f>
        <v>0</v>
      </c>
      <c r="L105" s="1209" t="str">
        <f>IF(K105=0,"",(K105/(SUM($K$101:$K$110)))*100)</f>
        <v/>
      </c>
    </row>
    <row r="106" spans="1:12" ht="15.6" x14ac:dyDescent="0.25">
      <c r="A106" s="1295"/>
      <c r="B106" s="645" t="s">
        <v>173</v>
      </c>
      <c r="C106" s="627">
        <f>'G-2 Habitat groups'!E156</f>
        <v>1.54</v>
      </c>
      <c r="D106" s="627">
        <f>'G-2 Habitat groups'!F156</f>
        <v>14.24</v>
      </c>
      <c r="E106" s="627">
        <f>'G-2 Habitat groups'!O156</f>
        <v>1.54</v>
      </c>
      <c r="F106" s="627">
        <f>'G-2 Habitat groups'!P156</f>
        <v>14.24</v>
      </c>
      <c r="G106" s="627">
        <f t="shared" si="9"/>
        <v>0</v>
      </c>
      <c r="H106" s="627">
        <f t="shared" si="8"/>
        <v>0</v>
      </c>
      <c r="J106" s="1212"/>
      <c r="K106" s="1287"/>
      <c r="L106" s="1210"/>
    </row>
    <row r="107" spans="1:12" ht="15.6" x14ac:dyDescent="0.25">
      <c r="A107" s="1295"/>
      <c r="B107" s="646" t="s">
        <v>174</v>
      </c>
      <c r="C107" s="627">
        <f>'G-2 Habitat groups'!E157</f>
        <v>0</v>
      </c>
      <c r="D107" s="627">
        <f>'G-2 Habitat groups'!F157</f>
        <v>0</v>
      </c>
      <c r="E107" s="627">
        <f>'G-2 Habitat groups'!O157</f>
        <v>0</v>
      </c>
      <c r="F107" s="627">
        <f>'G-2 Habitat groups'!P157</f>
        <v>0</v>
      </c>
      <c r="G107" s="627">
        <f t="shared" si="9"/>
        <v>0</v>
      </c>
      <c r="H107" s="627">
        <f t="shared" si="8"/>
        <v>0</v>
      </c>
      <c r="J107" s="1211" t="str">
        <f>'G-1 All Habitats'!$V$6</f>
        <v>Low</v>
      </c>
      <c r="K107" s="1220">
        <f>SUMIF('B-1 On-Site Hedge Baseline'!$F$10:$F$257,'Detailed Results'!J107,'B-1 On-Site Hedge Baseline'!$T$10:$T$257)+SUMIF('E-1 Off-Site Hedge Baseline'!$F$10:$F$257,'Detailed Results'!J107,'E-1 Off-Site Hedge Baseline'!$W$10:$W$257)</f>
        <v>0</v>
      </c>
      <c r="L107" s="1209" t="str">
        <f>IF(K107=0,"",(K107/(SUM($K$101:$K$110)))*100)</f>
        <v/>
      </c>
    </row>
    <row r="108" spans="1:12" ht="15.6" x14ac:dyDescent="0.25">
      <c r="A108" s="1295"/>
      <c r="B108" s="647" t="s">
        <v>175</v>
      </c>
      <c r="C108" s="627">
        <f>'G-2 Habitat groups'!E158</f>
        <v>0</v>
      </c>
      <c r="D108" s="627">
        <f>'G-2 Habitat groups'!F158</f>
        <v>0</v>
      </c>
      <c r="E108" s="627">
        <f>'G-2 Habitat groups'!O158</f>
        <v>0</v>
      </c>
      <c r="F108" s="627">
        <f>'G-2 Habitat groups'!P158</f>
        <v>0</v>
      </c>
      <c r="G108" s="627">
        <f t="shared" si="9"/>
        <v>0</v>
      </c>
      <c r="H108" s="627">
        <f t="shared" si="8"/>
        <v>0</v>
      </c>
      <c r="J108" s="1212"/>
      <c r="K108" s="1287"/>
      <c r="L108" s="1210"/>
    </row>
    <row r="109" spans="1:12" ht="15.6" x14ac:dyDescent="0.25">
      <c r="A109" s="1295"/>
      <c r="B109" s="647" t="s">
        <v>176</v>
      </c>
      <c r="C109" s="627">
        <f>'G-2 Habitat groups'!E159</f>
        <v>0.2</v>
      </c>
      <c r="D109" s="627">
        <f>'G-2 Habitat groups'!F159</f>
        <v>0.8</v>
      </c>
      <c r="E109" s="627">
        <f>'G-2 Habitat groups'!O159</f>
        <v>0.2</v>
      </c>
      <c r="F109" s="627">
        <f>'G-2 Habitat groups'!P159</f>
        <v>0.8</v>
      </c>
      <c r="G109" s="627">
        <f t="shared" si="9"/>
        <v>0</v>
      </c>
      <c r="H109" s="627">
        <f t="shared" si="8"/>
        <v>0</v>
      </c>
      <c r="J109" s="1211" t="str">
        <f>'G-1 All Habitats'!$V$7</f>
        <v>V.Low</v>
      </c>
      <c r="K109" s="1220">
        <f>SUMIF('B-1 On-Site Hedge Baseline'!$F$10:$F$257,'Detailed Results'!J109,'B-1 On-Site Hedge Baseline'!$T$10:$T$257)+SUMIF('E-1 Off-Site Hedge Baseline'!$F$10:$F$257,'Detailed Results'!J109,'E-1 Off-Site Hedge Baseline'!$W$10:$W$257)</f>
        <v>0</v>
      </c>
      <c r="L109" s="1209" t="str">
        <f>IF(K109=0,"",(K109/(SUM($K$101:$K$110)))*100)</f>
        <v/>
      </c>
    </row>
    <row r="110" spans="1:12" ht="16.2" thickBot="1" x14ac:dyDescent="0.3">
      <c r="A110" s="1295"/>
      <c r="B110" s="647" t="s">
        <v>177</v>
      </c>
      <c r="C110" s="627">
        <f>'G-2 Habitat groups'!E160</f>
        <v>0.2</v>
      </c>
      <c r="D110" s="627">
        <f>'G-2 Habitat groups'!F160</f>
        <v>0.60000000000000009</v>
      </c>
      <c r="E110" s="627">
        <f>'G-2 Habitat groups'!O160</f>
        <v>0.2</v>
      </c>
      <c r="F110" s="627">
        <f>'G-2 Habitat groups'!P160</f>
        <v>0.60000000000000009</v>
      </c>
      <c r="G110" s="627">
        <f t="shared" si="9"/>
        <v>0</v>
      </c>
      <c r="H110" s="627">
        <f t="shared" si="8"/>
        <v>0</v>
      </c>
      <c r="J110" s="1290"/>
      <c r="K110" s="1221"/>
      <c r="L110" s="1219"/>
    </row>
    <row r="111" spans="1:12" ht="15.6" x14ac:dyDescent="0.25">
      <c r="A111" s="1295"/>
      <c r="B111" s="647" t="s">
        <v>178</v>
      </c>
      <c r="C111" s="627">
        <f>'G-2 Habitat groups'!E161</f>
        <v>0</v>
      </c>
      <c r="D111" s="627">
        <f>'G-2 Habitat groups'!F161</f>
        <v>0</v>
      </c>
      <c r="E111" s="627">
        <f>'G-2 Habitat groups'!O161</f>
        <v>0</v>
      </c>
      <c r="F111" s="627">
        <f>'G-2 Habitat groups'!P161</f>
        <v>0</v>
      </c>
      <c r="G111" s="627">
        <f t="shared" si="9"/>
        <v>0</v>
      </c>
      <c r="H111" s="627">
        <f t="shared" si="8"/>
        <v>0</v>
      </c>
    </row>
    <row r="112" spans="1:12" ht="15.6" x14ac:dyDescent="0.25">
      <c r="A112" s="1295"/>
      <c r="B112" s="647" t="s">
        <v>179</v>
      </c>
      <c r="C112" s="627">
        <f>'G-2 Habitat groups'!E162</f>
        <v>0.6</v>
      </c>
      <c r="D112" s="627">
        <f>'G-2 Habitat groups'!F162</f>
        <v>0.6</v>
      </c>
      <c r="E112" s="627">
        <f>'G-2 Habitat groups'!O162</f>
        <v>0.6</v>
      </c>
      <c r="F112" s="627">
        <f>'G-2 Habitat groups'!P162</f>
        <v>0.6</v>
      </c>
      <c r="G112" s="627">
        <f t="shared" si="9"/>
        <v>0</v>
      </c>
      <c r="H112" s="627">
        <f t="shared" si="8"/>
        <v>0</v>
      </c>
    </row>
    <row r="113" spans="1:8" x14ac:dyDescent="0.25">
      <c r="A113" s="1295"/>
    </row>
    <row r="114" spans="1:8" x14ac:dyDescent="0.25">
      <c r="A114" s="1295"/>
    </row>
    <row r="115" spans="1:8" x14ac:dyDescent="0.25">
      <c r="A115" s="1295"/>
    </row>
    <row r="116" spans="1:8" ht="14.4" thickBot="1" x14ac:dyDescent="0.3">
      <c r="A116" s="1295"/>
    </row>
    <row r="117" spans="1:8" ht="18" thickBot="1" x14ac:dyDescent="0.35">
      <c r="A117" s="1295"/>
      <c r="B117" s="1213" t="s">
        <v>180</v>
      </c>
      <c r="C117" s="1213"/>
      <c r="D117" s="1213"/>
      <c r="E117" s="1213"/>
      <c r="F117" s="1213"/>
      <c r="G117" s="1213"/>
      <c r="H117" s="1213"/>
    </row>
    <row r="118" spans="1:8" ht="16.2" thickBot="1" x14ac:dyDescent="0.3">
      <c r="A118" s="1295"/>
      <c r="B118" s="625"/>
      <c r="C118" s="1208" t="s">
        <v>80</v>
      </c>
      <c r="D118" s="1208"/>
      <c r="E118" s="1208" t="s">
        <v>140</v>
      </c>
      <c r="F118" s="1208"/>
      <c r="G118" s="1208" t="s">
        <v>141</v>
      </c>
      <c r="H118" s="1208"/>
    </row>
    <row r="119" spans="1:8" ht="47.4" thickBot="1" x14ac:dyDescent="0.3">
      <c r="A119" s="1295"/>
      <c r="B119" s="626" t="s">
        <v>161</v>
      </c>
      <c r="C119" s="625" t="s">
        <v>181</v>
      </c>
      <c r="D119" s="625" t="s">
        <v>143</v>
      </c>
      <c r="E119" s="625" t="s">
        <v>182</v>
      </c>
      <c r="F119" s="625" t="s">
        <v>145</v>
      </c>
      <c r="G119" s="625" t="s">
        <v>183</v>
      </c>
      <c r="H119" s="625" t="s">
        <v>147</v>
      </c>
    </row>
    <row r="120" spans="1:8" ht="15.6" x14ac:dyDescent="0.25">
      <c r="A120" s="1295"/>
      <c r="B120" s="644" t="s">
        <v>167</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6" x14ac:dyDescent="0.25">
      <c r="A121" s="1295"/>
      <c r="B121" s="645" t="s">
        <v>168</v>
      </c>
      <c r="C121" s="627">
        <f>'G-2 Habitat groups'!S151</f>
        <v>0</v>
      </c>
      <c r="D121" s="627">
        <f>'G-2 Habitat groups'!T151</f>
        <v>0</v>
      </c>
      <c r="E121" s="627">
        <f>'G-2 Habitat groups'!AA151</f>
        <v>0</v>
      </c>
      <c r="F121" s="627">
        <f>'G-2 Habitat groups'!AB151</f>
        <v>0</v>
      </c>
      <c r="G121" s="627">
        <f t="shared" si="10"/>
        <v>0</v>
      </c>
      <c r="H121" s="627">
        <f t="shared" si="11"/>
        <v>0</v>
      </c>
    </row>
    <row r="122" spans="1:8" ht="15.6" x14ac:dyDescent="0.25">
      <c r="A122" s="1295"/>
      <c r="B122" s="645" t="s">
        <v>169</v>
      </c>
      <c r="C122" s="627">
        <f>'G-2 Habitat groups'!S152</f>
        <v>0</v>
      </c>
      <c r="D122" s="627">
        <f>'G-2 Habitat groups'!T152</f>
        <v>0</v>
      </c>
      <c r="E122" s="627">
        <f>'G-2 Habitat groups'!AA152</f>
        <v>0</v>
      </c>
      <c r="F122" s="627">
        <f>'G-2 Habitat groups'!AB152</f>
        <v>0</v>
      </c>
      <c r="G122" s="627">
        <f t="shared" si="10"/>
        <v>0</v>
      </c>
      <c r="H122" s="627">
        <f t="shared" si="11"/>
        <v>0</v>
      </c>
    </row>
    <row r="123" spans="1:8" ht="15.6" x14ac:dyDescent="0.25">
      <c r="A123" s="1295"/>
      <c r="B123" s="645" t="s">
        <v>170</v>
      </c>
      <c r="C123" s="627">
        <f>'G-2 Habitat groups'!S153</f>
        <v>0</v>
      </c>
      <c r="D123" s="627">
        <f>'G-2 Habitat groups'!T153</f>
        <v>0</v>
      </c>
      <c r="E123" s="627">
        <f>'G-2 Habitat groups'!AA153</f>
        <v>0</v>
      </c>
      <c r="F123" s="627">
        <f>'G-2 Habitat groups'!AB153</f>
        <v>0</v>
      </c>
      <c r="G123" s="627">
        <f t="shared" si="10"/>
        <v>0</v>
      </c>
      <c r="H123" s="627">
        <f t="shared" si="11"/>
        <v>0</v>
      </c>
    </row>
    <row r="124" spans="1:8" ht="15.6" x14ac:dyDescent="0.25">
      <c r="A124" s="1295"/>
      <c r="B124" s="645" t="s">
        <v>171</v>
      </c>
      <c r="C124" s="627">
        <f>'G-2 Habitat groups'!S154</f>
        <v>0</v>
      </c>
      <c r="D124" s="627">
        <f>'G-2 Habitat groups'!T154</f>
        <v>0</v>
      </c>
      <c r="E124" s="627">
        <f>'G-2 Habitat groups'!AA154</f>
        <v>0</v>
      </c>
      <c r="F124" s="627">
        <f>'G-2 Habitat groups'!AB154</f>
        <v>0</v>
      </c>
      <c r="G124" s="627">
        <f t="shared" si="10"/>
        <v>0</v>
      </c>
      <c r="H124" s="627">
        <f t="shared" si="11"/>
        <v>0</v>
      </c>
    </row>
    <row r="125" spans="1:8" ht="15.6" x14ac:dyDescent="0.25">
      <c r="A125" s="1295"/>
      <c r="B125" s="645" t="s">
        <v>172</v>
      </c>
      <c r="C125" s="627">
        <f>'G-2 Habitat groups'!S155</f>
        <v>0</v>
      </c>
      <c r="D125" s="627">
        <f>'G-2 Habitat groups'!T155</f>
        <v>0</v>
      </c>
      <c r="E125" s="627">
        <f>'G-2 Habitat groups'!AA155</f>
        <v>0</v>
      </c>
      <c r="F125" s="627">
        <f>'G-2 Habitat groups'!AB155</f>
        <v>0</v>
      </c>
      <c r="G125" s="627">
        <f t="shared" si="10"/>
        <v>0</v>
      </c>
      <c r="H125" s="627">
        <f t="shared" si="11"/>
        <v>0</v>
      </c>
    </row>
    <row r="126" spans="1:8" ht="15.6" x14ac:dyDescent="0.25">
      <c r="A126" s="1295"/>
      <c r="B126" s="645" t="s">
        <v>173</v>
      </c>
      <c r="C126" s="627">
        <f>'G-2 Habitat groups'!S156</f>
        <v>0</v>
      </c>
      <c r="D126" s="627">
        <f>'G-2 Habitat groups'!T156</f>
        <v>0</v>
      </c>
      <c r="E126" s="627">
        <f>'G-2 Habitat groups'!AA156</f>
        <v>0</v>
      </c>
      <c r="F126" s="627">
        <f>'G-2 Habitat groups'!AB156</f>
        <v>0</v>
      </c>
      <c r="G126" s="627">
        <f t="shared" si="10"/>
        <v>0</v>
      </c>
      <c r="H126" s="627">
        <f t="shared" si="11"/>
        <v>0</v>
      </c>
    </row>
    <row r="127" spans="1:8" ht="15.6" x14ac:dyDescent="0.25">
      <c r="A127" s="1295"/>
      <c r="B127" s="646" t="s">
        <v>174</v>
      </c>
      <c r="C127" s="627">
        <f>'G-2 Habitat groups'!S157</f>
        <v>0</v>
      </c>
      <c r="D127" s="627">
        <f>'G-2 Habitat groups'!T157</f>
        <v>0</v>
      </c>
      <c r="E127" s="627">
        <f>'G-2 Habitat groups'!AA157</f>
        <v>0</v>
      </c>
      <c r="F127" s="627">
        <f>'G-2 Habitat groups'!AB157</f>
        <v>0</v>
      </c>
      <c r="G127" s="627">
        <f t="shared" si="10"/>
        <v>0</v>
      </c>
      <c r="H127" s="627">
        <f t="shared" si="11"/>
        <v>0</v>
      </c>
    </row>
    <row r="128" spans="1:8" ht="15.6" x14ac:dyDescent="0.25">
      <c r="A128" s="1295"/>
      <c r="B128" s="647" t="s">
        <v>175</v>
      </c>
      <c r="C128" s="627">
        <f>'G-2 Habitat groups'!S158</f>
        <v>0</v>
      </c>
      <c r="D128" s="627">
        <f>'G-2 Habitat groups'!T158</f>
        <v>0</v>
      </c>
      <c r="E128" s="627">
        <f>'G-2 Habitat groups'!AA158</f>
        <v>0</v>
      </c>
      <c r="F128" s="627">
        <f>'G-2 Habitat groups'!AB158</f>
        <v>0</v>
      </c>
      <c r="G128" s="627">
        <f t="shared" si="10"/>
        <v>0</v>
      </c>
      <c r="H128" s="627">
        <f t="shared" si="11"/>
        <v>0</v>
      </c>
    </row>
    <row r="129" spans="1:8" ht="15.6" x14ac:dyDescent="0.25">
      <c r="A129" s="1295"/>
      <c r="B129" s="647" t="s">
        <v>176</v>
      </c>
      <c r="C129" s="627">
        <f>'G-2 Habitat groups'!S159</f>
        <v>0</v>
      </c>
      <c r="D129" s="627">
        <f>'G-2 Habitat groups'!T159</f>
        <v>0</v>
      </c>
      <c r="E129" s="627">
        <f>'G-2 Habitat groups'!AA159</f>
        <v>0</v>
      </c>
      <c r="F129" s="627">
        <f>'G-2 Habitat groups'!AB159</f>
        <v>0</v>
      </c>
      <c r="G129" s="627">
        <f t="shared" si="10"/>
        <v>0</v>
      </c>
      <c r="H129" s="627">
        <f t="shared" si="11"/>
        <v>0</v>
      </c>
    </row>
    <row r="130" spans="1:8" ht="15.6" x14ac:dyDescent="0.25">
      <c r="A130" s="1295"/>
      <c r="B130" s="647" t="s">
        <v>177</v>
      </c>
      <c r="C130" s="627">
        <f>'G-2 Habitat groups'!S160</f>
        <v>0</v>
      </c>
      <c r="D130" s="627">
        <f>'G-2 Habitat groups'!T160</f>
        <v>0</v>
      </c>
      <c r="E130" s="627">
        <f>'G-2 Habitat groups'!AA160</f>
        <v>0</v>
      </c>
      <c r="F130" s="627">
        <f>'G-2 Habitat groups'!AB160</f>
        <v>0</v>
      </c>
      <c r="G130" s="627">
        <f t="shared" si="10"/>
        <v>0</v>
      </c>
      <c r="H130" s="627">
        <f t="shared" si="11"/>
        <v>0</v>
      </c>
    </row>
    <row r="131" spans="1:8" ht="15.6" x14ac:dyDescent="0.25">
      <c r="A131" s="1295"/>
      <c r="B131" s="647" t="s">
        <v>178</v>
      </c>
      <c r="C131" s="627">
        <f>'G-2 Habitat groups'!S161</f>
        <v>0</v>
      </c>
      <c r="D131" s="627">
        <f>'G-2 Habitat groups'!T161</f>
        <v>0</v>
      </c>
      <c r="E131" s="627">
        <f>'G-2 Habitat groups'!AA161</f>
        <v>0</v>
      </c>
      <c r="F131" s="627">
        <f>'G-2 Habitat groups'!AB161</f>
        <v>0</v>
      </c>
      <c r="G131" s="627">
        <f t="shared" si="10"/>
        <v>0</v>
      </c>
      <c r="H131" s="627">
        <f t="shared" si="11"/>
        <v>0</v>
      </c>
    </row>
    <row r="132" spans="1:8" ht="15.6" x14ac:dyDescent="0.25">
      <c r="A132" s="1295"/>
      <c r="B132" s="647" t="s">
        <v>179</v>
      </c>
      <c r="C132" s="627">
        <f>'G-2 Habitat groups'!S162</f>
        <v>0</v>
      </c>
      <c r="D132" s="627">
        <f>'G-2 Habitat groups'!T162</f>
        <v>0</v>
      </c>
      <c r="E132" s="627">
        <f>'G-2 Habitat groups'!AA162</f>
        <v>0</v>
      </c>
      <c r="F132" s="627">
        <f>'G-2 Habitat groups'!AB162</f>
        <v>0</v>
      </c>
      <c r="G132" s="627">
        <f t="shared" si="10"/>
        <v>0</v>
      </c>
      <c r="H132" s="627">
        <f t="shared" si="11"/>
        <v>0</v>
      </c>
    </row>
    <row r="133" spans="1:8" x14ac:dyDescent="0.25">
      <c r="A133" s="1295"/>
      <c r="B133" s="633"/>
      <c r="C133" s="633"/>
    </row>
    <row r="134" spans="1:8" x14ac:dyDescent="0.25">
      <c r="A134" s="1295"/>
      <c r="B134" s="633"/>
      <c r="C134" s="633"/>
    </row>
    <row r="135" spans="1:8" x14ac:dyDescent="0.25">
      <c r="A135" s="1295"/>
      <c r="B135" s="633"/>
      <c r="C135" s="633"/>
    </row>
    <row r="136" spans="1:8" ht="14.4" thickBot="1" x14ac:dyDescent="0.3">
      <c r="A136" s="1295"/>
      <c r="B136" s="633"/>
      <c r="C136" s="633"/>
    </row>
    <row r="137" spans="1:8" ht="18" thickBot="1" x14ac:dyDescent="0.35">
      <c r="A137" s="1295"/>
      <c r="B137" s="1213" t="s">
        <v>184</v>
      </c>
      <c r="C137" s="1213"/>
      <c r="D137" s="1213"/>
      <c r="E137" s="1213"/>
      <c r="F137" s="1213"/>
      <c r="G137" s="1213"/>
      <c r="H137" s="1213"/>
    </row>
    <row r="138" spans="1:8" ht="16.2" thickBot="1" x14ac:dyDescent="0.3">
      <c r="A138" s="1295"/>
      <c r="B138" s="625"/>
      <c r="C138" s="1208" t="s">
        <v>111</v>
      </c>
      <c r="D138" s="1208"/>
      <c r="E138" s="1208" t="s">
        <v>185</v>
      </c>
      <c r="F138" s="1208"/>
      <c r="G138" s="1208" t="s">
        <v>186</v>
      </c>
      <c r="H138" s="1208"/>
    </row>
    <row r="139" spans="1:8" ht="47.4" thickBot="1" x14ac:dyDescent="0.3">
      <c r="A139" s="1295"/>
      <c r="B139" s="626" t="s">
        <v>161</v>
      </c>
      <c r="C139" s="625" t="s">
        <v>206</v>
      </c>
      <c r="D139" s="625" t="s">
        <v>152</v>
      </c>
      <c r="E139" s="625" t="s">
        <v>187</v>
      </c>
      <c r="F139" s="625" t="s">
        <v>154</v>
      </c>
      <c r="G139" s="625" t="s">
        <v>188</v>
      </c>
      <c r="H139" s="625" t="s">
        <v>156</v>
      </c>
    </row>
    <row r="140" spans="1:8" ht="15.6" x14ac:dyDescent="0.25">
      <c r="A140" s="1295"/>
      <c r="B140" s="644" t="s">
        <v>167</v>
      </c>
      <c r="C140" s="628">
        <f t="shared" ref="C140:H140" si="12">C100+C120</f>
        <v>0</v>
      </c>
      <c r="D140" s="628">
        <f t="shared" si="12"/>
        <v>0</v>
      </c>
      <c r="E140" s="628">
        <f t="shared" si="12"/>
        <v>0</v>
      </c>
      <c r="F140" s="628">
        <f t="shared" si="12"/>
        <v>0</v>
      </c>
      <c r="G140" s="628">
        <f t="shared" si="12"/>
        <v>0</v>
      </c>
      <c r="H140" s="628">
        <f t="shared" si="12"/>
        <v>0</v>
      </c>
    </row>
    <row r="141" spans="1:8" ht="15.6" x14ac:dyDescent="0.25">
      <c r="A141" s="1295"/>
      <c r="B141" s="645" t="s">
        <v>168</v>
      </c>
      <c r="C141" s="628">
        <f t="shared" ref="C141:H141" si="13">C101+C121</f>
        <v>0</v>
      </c>
      <c r="D141" s="628">
        <f t="shared" si="13"/>
        <v>0</v>
      </c>
      <c r="E141" s="628">
        <f t="shared" si="13"/>
        <v>0</v>
      </c>
      <c r="F141" s="628">
        <f t="shared" si="13"/>
        <v>0</v>
      </c>
      <c r="G141" s="628">
        <f t="shared" si="13"/>
        <v>0</v>
      </c>
      <c r="H141" s="628">
        <f t="shared" si="13"/>
        <v>0</v>
      </c>
    </row>
    <row r="142" spans="1:8" ht="15.6" x14ac:dyDescent="0.25">
      <c r="A142" s="1295"/>
      <c r="B142" s="645" t="s">
        <v>169</v>
      </c>
      <c r="C142" s="628">
        <f t="shared" ref="C142:H142" si="14">C102+C122</f>
        <v>0</v>
      </c>
      <c r="D142" s="628">
        <f t="shared" si="14"/>
        <v>0</v>
      </c>
      <c r="E142" s="628">
        <f t="shared" si="14"/>
        <v>0</v>
      </c>
      <c r="F142" s="628">
        <f t="shared" si="14"/>
        <v>0</v>
      </c>
      <c r="G142" s="628">
        <f t="shared" si="14"/>
        <v>0</v>
      </c>
      <c r="H142" s="628">
        <f t="shared" si="14"/>
        <v>0</v>
      </c>
    </row>
    <row r="143" spans="1:8" ht="15.6" x14ac:dyDescent="0.25">
      <c r="A143" s="1295"/>
      <c r="B143" s="645" t="s">
        <v>170</v>
      </c>
      <c r="C143" s="628">
        <f t="shared" ref="C143:H143" si="15">C103+C123</f>
        <v>0</v>
      </c>
      <c r="D143" s="628">
        <f t="shared" si="15"/>
        <v>0</v>
      </c>
      <c r="E143" s="628">
        <f t="shared" si="15"/>
        <v>0</v>
      </c>
      <c r="F143" s="628">
        <f t="shared" si="15"/>
        <v>0</v>
      </c>
      <c r="G143" s="628">
        <f t="shared" si="15"/>
        <v>0</v>
      </c>
      <c r="H143" s="628">
        <f t="shared" si="15"/>
        <v>0</v>
      </c>
    </row>
    <row r="144" spans="1:8" ht="15.6" x14ac:dyDescent="0.25">
      <c r="A144" s="1295"/>
      <c r="B144" s="645" t="s">
        <v>171</v>
      </c>
      <c r="C144" s="628">
        <f t="shared" ref="C144:H144" si="16">C104+C124</f>
        <v>0</v>
      </c>
      <c r="D144" s="628">
        <f t="shared" si="16"/>
        <v>0</v>
      </c>
      <c r="E144" s="628">
        <f t="shared" si="16"/>
        <v>2.4900000000000002</v>
      </c>
      <c r="F144" s="628">
        <f t="shared" si="16"/>
        <v>16.669627715952004</v>
      </c>
      <c r="G144" s="628">
        <f t="shared" si="16"/>
        <v>2.4900000000000002</v>
      </c>
      <c r="H144" s="628">
        <f t="shared" si="16"/>
        <v>16.669627715952004</v>
      </c>
    </row>
    <row r="145" spans="1:12" ht="15.6" x14ac:dyDescent="0.25">
      <c r="A145" s="1295"/>
      <c r="B145" s="645" t="s">
        <v>172</v>
      </c>
      <c r="C145" s="628">
        <f t="shared" ref="C145:H145" si="17">C105+C125</f>
        <v>0</v>
      </c>
      <c r="D145" s="628">
        <f t="shared" si="17"/>
        <v>0</v>
      </c>
      <c r="E145" s="628">
        <f t="shared" si="17"/>
        <v>0</v>
      </c>
      <c r="F145" s="628">
        <f t="shared" si="17"/>
        <v>0</v>
      </c>
      <c r="G145" s="628">
        <f t="shared" si="17"/>
        <v>0</v>
      </c>
      <c r="H145" s="628">
        <f t="shared" si="17"/>
        <v>0</v>
      </c>
    </row>
    <row r="146" spans="1:12" ht="15.6" x14ac:dyDescent="0.25">
      <c r="A146" s="1295"/>
      <c r="B146" s="645" t="s">
        <v>173</v>
      </c>
      <c r="C146" s="628">
        <f t="shared" ref="C146:H146" si="18">C106+C126</f>
        <v>1.54</v>
      </c>
      <c r="D146" s="628">
        <f t="shared" si="18"/>
        <v>14.24</v>
      </c>
      <c r="E146" s="628">
        <f t="shared" si="18"/>
        <v>1.54</v>
      </c>
      <c r="F146" s="628">
        <f t="shared" si="18"/>
        <v>14.24</v>
      </c>
      <c r="G146" s="628">
        <f t="shared" si="18"/>
        <v>0</v>
      </c>
      <c r="H146" s="628">
        <f t="shared" si="18"/>
        <v>0</v>
      </c>
    </row>
    <row r="147" spans="1:12" ht="15.6" x14ac:dyDescent="0.25">
      <c r="A147" s="1295"/>
      <c r="B147" s="646" t="s">
        <v>174</v>
      </c>
      <c r="C147" s="628">
        <f t="shared" ref="C147:H147" si="19">C107+C127</f>
        <v>0</v>
      </c>
      <c r="D147" s="628">
        <f t="shared" si="19"/>
        <v>0</v>
      </c>
      <c r="E147" s="628">
        <f t="shared" si="19"/>
        <v>0</v>
      </c>
      <c r="F147" s="628">
        <f t="shared" si="19"/>
        <v>0</v>
      </c>
      <c r="G147" s="628">
        <f t="shared" si="19"/>
        <v>0</v>
      </c>
      <c r="H147" s="628">
        <f t="shared" si="19"/>
        <v>0</v>
      </c>
    </row>
    <row r="148" spans="1:12" ht="15.6" x14ac:dyDescent="0.25">
      <c r="A148" s="1295"/>
      <c r="B148" s="647" t="s">
        <v>175</v>
      </c>
      <c r="C148" s="628">
        <f t="shared" ref="C148:H148" si="20">C108+C128</f>
        <v>0</v>
      </c>
      <c r="D148" s="628">
        <f t="shared" si="20"/>
        <v>0</v>
      </c>
      <c r="E148" s="628">
        <f t="shared" si="20"/>
        <v>0</v>
      </c>
      <c r="F148" s="628">
        <f t="shared" si="20"/>
        <v>0</v>
      </c>
      <c r="G148" s="628">
        <f t="shared" si="20"/>
        <v>0</v>
      </c>
      <c r="H148" s="628">
        <f t="shared" si="20"/>
        <v>0</v>
      </c>
    </row>
    <row r="149" spans="1:12" ht="15.6" x14ac:dyDescent="0.25">
      <c r="A149" s="1295"/>
      <c r="B149" s="647" t="s">
        <v>176</v>
      </c>
      <c r="C149" s="628">
        <f t="shared" ref="C149:H149" si="21">C109+C129</f>
        <v>0.2</v>
      </c>
      <c r="D149" s="628">
        <f t="shared" si="21"/>
        <v>0.8</v>
      </c>
      <c r="E149" s="628">
        <f t="shared" si="21"/>
        <v>0.2</v>
      </c>
      <c r="F149" s="628">
        <f t="shared" si="21"/>
        <v>0.8</v>
      </c>
      <c r="G149" s="628">
        <f t="shared" si="21"/>
        <v>0</v>
      </c>
      <c r="H149" s="628">
        <f t="shared" si="21"/>
        <v>0</v>
      </c>
    </row>
    <row r="150" spans="1:12" ht="15.6" x14ac:dyDescent="0.25">
      <c r="A150" s="1295"/>
      <c r="B150" s="647" t="s">
        <v>177</v>
      </c>
      <c r="C150" s="628">
        <f t="shared" ref="C150:H150" si="22">C110+C130</f>
        <v>0.2</v>
      </c>
      <c r="D150" s="628">
        <f t="shared" si="22"/>
        <v>0.60000000000000009</v>
      </c>
      <c r="E150" s="628">
        <f t="shared" si="22"/>
        <v>0.2</v>
      </c>
      <c r="F150" s="628">
        <f t="shared" si="22"/>
        <v>0.60000000000000009</v>
      </c>
      <c r="G150" s="628">
        <f t="shared" si="22"/>
        <v>0</v>
      </c>
      <c r="H150" s="628">
        <f t="shared" si="22"/>
        <v>0</v>
      </c>
    </row>
    <row r="151" spans="1:12" ht="15.6" x14ac:dyDescent="0.25">
      <c r="A151" s="1295"/>
      <c r="B151" s="647" t="s">
        <v>178</v>
      </c>
      <c r="C151" s="628">
        <f t="shared" ref="C151:H151" si="23">C111+C131</f>
        <v>0</v>
      </c>
      <c r="D151" s="628">
        <f t="shared" si="23"/>
        <v>0</v>
      </c>
      <c r="E151" s="628">
        <f t="shared" si="23"/>
        <v>0</v>
      </c>
      <c r="F151" s="628">
        <f t="shared" si="23"/>
        <v>0</v>
      </c>
      <c r="G151" s="628">
        <f t="shared" si="23"/>
        <v>0</v>
      </c>
      <c r="H151" s="628">
        <f t="shared" si="23"/>
        <v>0</v>
      </c>
    </row>
    <row r="152" spans="1:12" ht="15.6" x14ac:dyDescent="0.25">
      <c r="A152" s="1295"/>
      <c r="B152" s="647" t="s">
        <v>179</v>
      </c>
      <c r="C152" s="628">
        <f t="shared" ref="C152:H152" si="24">C112+C132</f>
        <v>0.6</v>
      </c>
      <c r="D152" s="628">
        <f t="shared" si="24"/>
        <v>0.6</v>
      </c>
      <c r="E152" s="628">
        <f t="shared" si="24"/>
        <v>0.6</v>
      </c>
      <c r="F152" s="628">
        <f t="shared" si="24"/>
        <v>0.6</v>
      </c>
      <c r="G152" s="628">
        <f t="shared" si="24"/>
        <v>0</v>
      </c>
      <c r="H152" s="628">
        <f t="shared" si="24"/>
        <v>0</v>
      </c>
    </row>
    <row r="153" spans="1:12" x14ac:dyDescent="0.25">
      <c r="A153" s="1295"/>
    </row>
    <row r="154" spans="1:12" ht="14.4" thickBot="1" x14ac:dyDescent="0.3">
      <c r="A154" s="1296"/>
    </row>
    <row r="155" spans="1:12" s="622" customFormat="1" ht="31.95" customHeight="1" thickTop="1" x14ac:dyDescent="0.25">
      <c r="A155" s="1297" t="s">
        <v>189</v>
      </c>
    </row>
    <row r="156" spans="1:12" ht="14.4" thickBot="1" x14ac:dyDescent="0.3">
      <c r="A156" s="1298"/>
    </row>
    <row r="157" spans="1:12" ht="25.8" thickBot="1" x14ac:dyDescent="0.5">
      <c r="A157" s="1298"/>
      <c r="B157" s="1214" t="s">
        <v>59</v>
      </c>
      <c r="C157" s="1215"/>
      <c r="D157" s="1216"/>
    </row>
    <row r="158" spans="1:12" x14ac:dyDescent="0.25">
      <c r="A158" s="1298"/>
    </row>
    <row r="159" spans="1:12" ht="14.4" thickBot="1" x14ac:dyDescent="0.3">
      <c r="A159" s="1298"/>
    </row>
    <row r="160" spans="1:12" ht="18" thickBot="1" x14ac:dyDescent="0.35">
      <c r="A160" s="1298"/>
      <c r="B160" s="1213" t="s">
        <v>190</v>
      </c>
      <c r="C160" s="1213"/>
      <c r="D160" s="1213"/>
      <c r="E160" s="1213"/>
      <c r="F160" s="1213"/>
      <c r="G160" s="1213"/>
      <c r="H160" s="1213"/>
      <c r="J160" s="1227" t="s">
        <v>160</v>
      </c>
      <c r="K160" s="1228"/>
      <c r="L160" s="1229"/>
    </row>
    <row r="161" spans="1:12" ht="16.2" thickBot="1" x14ac:dyDescent="0.3">
      <c r="A161" s="1298"/>
      <c r="B161" s="625"/>
      <c r="C161" s="1208" t="s">
        <v>111</v>
      </c>
      <c r="D161" s="1208"/>
      <c r="E161" s="1208" t="s">
        <v>191</v>
      </c>
      <c r="F161" s="1208"/>
      <c r="G161" s="1208" t="s">
        <v>192</v>
      </c>
      <c r="H161" s="1208"/>
      <c r="J161" s="1230"/>
      <c r="K161" s="1231"/>
      <c r="L161" s="1232"/>
    </row>
    <row r="162" spans="1:12" ht="47.4" thickBot="1" x14ac:dyDescent="0.3">
      <c r="A162" s="1298"/>
      <c r="B162" s="626" t="s">
        <v>193</v>
      </c>
      <c r="C162" s="625" t="s">
        <v>194</v>
      </c>
      <c r="D162" s="625" t="s">
        <v>116</v>
      </c>
      <c r="E162" s="625" t="s">
        <v>195</v>
      </c>
      <c r="F162" s="625" t="s">
        <v>118</v>
      </c>
      <c r="G162" s="625" t="s">
        <v>164</v>
      </c>
      <c r="H162" s="625" t="s">
        <v>120</v>
      </c>
      <c r="J162" s="1217" t="s">
        <v>121</v>
      </c>
      <c r="K162" s="1235" t="s">
        <v>165</v>
      </c>
      <c r="L162" s="1237" t="s">
        <v>166</v>
      </c>
    </row>
    <row r="163" spans="1:12" ht="15.6" x14ac:dyDescent="0.25">
      <c r="A163" s="1298"/>
      <c r="B163" s="644" t="s">
        <v>196</v>
      </c>
      <c r="C163" s="648">
        <f>'G-2 Habitat groups'!E172</f>
        <v>0</v>
      </c>
      <c r="D163" s="648">
        <f>'G-2 Habitat groups'!F172</f>
        <v>0</v>
      </c>
      <c r="E163" s="648">
        <f>'G-2 Habitat groups'!O172</f>
        <v>0</v>
      </c>
      <c r="F163" s="648">
        <f>'G-2 Habitat groups'!P172</f>
        <v>0</v>
      </c>
      <c r="G163" s="648">
        <f t="shared" ref="G163:H167" si="25">E163-C163</f>
        <v>0</v>
      </c>
      <c r="H163" s="648">
        <f t="shared" si="25"/>
        <v>0</v>
      </c>
      <c r="J163" s="1218"/>
      <c r="K163" s="1236"/>
      <c r="L163" s="1238"/>
    </row>
    <row r="164" spans="1:12" ht="15.6" x14ac:dyDescent="0.25">
      <c r="A164" s="1298"/>
      <c r="B164" s="645" t="s">
        <v>197</v>
      </c>
      <c r="C164" s="648">
        <f>'G-2 Habitat groups'!E173</f>
        <v>0</v>
      </c>
      <c r="D164" s="648">
        <f>'G-2 Habitat groups'!F173</f>
        <v>0</v>
      </c>
      <c r="E164" s="648">
        <f>'G-2 Habitat groups'!O173</f>
        <v>0</v>
      </c>
      <c r="F164" s="648">
        <f>'G-2 Habitat groups'!P173</f>
        <v>0</v>
      </c>
      <c r="G164" s="648">
        <f t="shared" si="25"/>
        <v>0</v>
      </c>
      <c r="H164" s="648">
        <f t="shared" si="25"/>
        <v>0</v>
      </c>
      <c r="J164" s="1211" t="str">
        <f>'G-1 All Habitats'!$V$3</f>
        <v>V.High</v>
      </c>
      <c r="K164" s="1220">
        <f>SUMIF('C-1 On-Site WaterC'' Baseline'!$F$10:$F$257,'Detailed Results'!J164,'C-1 On-Site WaterC'' Baseline'!$X$10:$X$257)+SUMIF('F-1 Off-Site WaterC'' Baseline'!$F$10:$F$257,'Detailed Results'!J164,'F-1 Off-Site WaterC'' Baseline'!$AA$10:$AA$257)</f>
        <v>0</v>
      </c>
      <c r="L164" s="1209" t="str">
        <f>IF(K164=0,"",(K164/(SUM($K$164:$K$171)))*100)</f>
        <v/>
      </c>
    </row>
    <row r="165" spans="1:12" ht="15.6" x14ac:dyDescent="0.25">
      <c r="A165" s="1298"/>
      <c r="B165" s="645" t="s">
        <v>198</v>
      </c>
      <c r="C165" s="648">
        <f>'G-2 Habitat groups'!E174</f>
        <v>0</v>
      </c>
      <c r="D165" s="648">
        <f>'G-2 Habitat groups'!F174</f>
        <v>0</v>
      </c>
      <c r="E165" s="648">
        <f>'G-2 Habitat groups'!O174</f>
        <v>0</v>
      </c>
      <c r="F165" s="648">
        <f>'G-2 Habitat groups'!P174</f>
        <v>0</v>
      </c>
      <c r="G165" s="648">
        <f t="shared" si="25"/>
        <v>0</v>
      </c>
      <c r="H165" s="648">
        <f t="shared" si="25"/>
        <v>0</v>
      </c>
      <c r="J165" s="1212"/>
      <c r="K165" s="1287"/>
      <c r="L165" s="1210"/>
    </row>
    <row r="166" spans="1:12" ht="15.6" x14ac:dyDescent="0.25">
      <c r="A166" s="1298"/>
      <c r="B166" s="645" t="s">
        <v>199</v>
      </c>
      <c r="C166" s="648">
        <f>'G-2 Habitat groups'!E175</f>
        <v>0</v>
      </c>
      <c r="D166" s="648">
        <f>'G-2 Habitat groups'!F175</f>
        <v>0</v>
      </c>
      <c r="E166" s="648">
        <f>'G-2 Habitat groups'!O175</f>
        <v>0</v>
      </c>
      <c r="F166" s="648">
        <f>'G-2 Habitat groups'!P175</f>
        <v>0</v>
      </c>
      <c r="G166" s="648">
        <f t="shared" si="25"/>
        <v>0</v>
      </c>
      <c r="H166" s="648">
        <f t="shared" si="25"/>
        <v>0</v>
      </c>
      <c r="J166" s="1211" t="str">
        <f>'G-1 All Habitats'!$V$4</f>
        <v>High</v>
      </c>
      <c r="K166" s="1220">
        <f>SUMIF('C-1 On-Site WaterC'' Baseline'!$F$10:$F$257,'Detailed Results'!J166,'C-1 On-Site WaterC'' Baseline'!$X$10:$X$257)+SUMIF('F-1 Off-Site WaterC'' Baseline'!$F$10:$F$257,'Detailed Results'!J166,'F-1 Off-Site WaterC'' Baseline'!$AA$10:$AA$257)</f>
        <v>0</v>
      </c>
      <c r="L166" s="1209" t="str">
        <f>IF(K166=0,"",(K166/(SUM($K$164:$K$171)))*100)</f>
        <v/>
      </c>
    </row>
    <row r="167" spans="1:12" ht="15.6" x14ac:dyDescent="0.25">
      <c r="A167" s="1298"/>
      <c r="B167" s="645" t="s">
        <v>200</v>
      </c>
      <c r="C167" s="648">
        <f>'G-2 Habitat groups'!E176</f>
        <v>0</v>
      </c>
      <c r="D167" s="648">
        <f>'G-2 Habitat groups'!F176</f>
        <v>0</v>
      </c>
      <c r="E167" s="648">
        <f>'G-2 Habitat groups'!O176</f>
        <v>0</v>
      </c>
      <c r="F167" s="648">
        <f>'G-2 Habitat groups'!P176</f>
        <v>0</v>
      </c>
      <c r="G167" s="648">
        <f t="shared" si="25"/>
        <v>0</v>
      </c>
      <c r="H167" s="648">
        <f t="shared" si="25"/>
        <v>0</v>
      </c>
      <c r="J167" s="1212"/>
      <c r="K167" s="1287"/>
      <c r="L167" s="1210"/>
    </row>
    <row r="168" spans="1:12" x14ac:dyDescent="0.25">
      <c r="A168" s="1298"/>
      <c r="J168" s="1211" t="str">
        <f>'G-1 All Habitats'!$V$5</f>
        <v>Medium</v>
      </c>
      <c r="K168" s="1220">
        <f>SUMIF('C-1 On-Site WaterC'' Baseline'!$F$10:$F$257,'Detailed Results'!J168,'C-1 On-Site WaterC'' Baseline'!$X$10:$X$257)+SUMIF('F-1 Off-Site WaterC'' Baseline'!$F$10:$F$257,'Detailed Results'!J168,'F-1 Off-Site WaterC'' Baseline'!$AA$10:$AA$257)</f>
        <v>0</v>
      </c>
      <c r="L168" s="1209" t="str">
        <f>IF(K168=0,"",(K168/(SUM($K$164:$K$171)))*100)</f>
        <v/>
      </c>
    </row>
    <row r="169" spans="1:12" x14ac:dyDescent="0.25">
      <c r="A169" s="1298"/>
      <c r="J169" s="1212"/>
      <c r="K169" s="1287"/>
      <c r="L169" s="1210"/>
    </row>
    <row r="170" spans="1:12" x14ac:dyDescent="0.25">
      <c r="A170" s="1298"/>
      <c r="J170" s="1211" t="str">
        <f>'G-1 All Habitats'!$V$6</f>
        <v>Low</v>
      </c>
      <c r="K170" s="1220">
        <f>SUMIF('C-1 On-Site WaterC'' Baseline'!$F$10:$F$257,'Detailed Results'!J170,'C-1 On-Site WaterC'' Baseline'!$X$10:$X$257)+SUMIF('F-1 Off-Site WaterC'' Baseline'!$F$10:$F$257,'Detailed Results'!J170,'F-1 Off-Site WaterC'' Baseline'!$AA$10:$AA$257)</f>
        <v>0</v>
      </c>
      <c r="L170" s="1209" t="str">
        <f>IF(K170=0,"",(K170/(SUM($K$164:$K$171)))*100)</f>
        <v/>
      </c>
    </row>
    <row r="171" spans="1:12" ht="14.4" thickBot="1" x14ac:dyDescent="0.3">
      <c r="A171" s="1298"/>
      <c r="J171" s="1290"/>
      <c r="K171" s="1221"/>
      <c r="L171" s="1219"/>
    </row>
    <row r="172" spans="1:12" x14ac:dyDescent="0.25">
      <c r="A172" s="1298"/>
    </row>
    <row r="173" spans="1:12" x14ac:dyDescent="0.25">
      <c r="A173" s="1298"/>
    </row>
    <row r="174" spans="1:12" x14ac:dyDescent="0.25">
      <c r="A174" s="1298"/>
    </row>
    <row r="175" spans="1:12" x14ac:dyDescent="0.25">
      <c r="A175" s="1298"/>
    </row>
    <row r="176" spans="1:12" x14ac:dyDescent="0.25">
      <c r="A176" s="1298"/>
    </row>
    <row r="177" spans="1:8" x14ac:dyDescent="0.25">
      <c r="A177" s="1298"/>
    </row>
    <row r="178" spans="1:8" x14ac:dyDescent="0.25">
      <c r="A178" s="1298"/>
    </row>
    <row r="179" spans="1:8" ht="14.4" thickBot="1" x14ac:dyDescent="0.3">
      <c r="A179" s="1298"/>
    </row>
    <row r="180" spans="1:8" ht="18" thickBot="1" x14ac:dyDescent="0.35">
      <c r="A180" s="1298"/>
      <c r="B180" s="1213" t="s">
        <v>201</v>
      </c>
      <c r="C180" s="1213"/>
      <c r="D180" s="1213"/>
      <c r="E180" s="1213"/>
      <c r="F180" s="1213"/>
      <c r="G180" s="1213"/>
      <c r="H180" s="1213"/>
    </row>
    <row r="181" spans="1:8" ht="16.2" thickBot="1" x14ac:dyDescent="0.3">
      <c r="A181" s="1298"/>
      <c r="B181" s="625"/>
      <c r="C181" s="1208" t="s">
        <v>111</v>
      </c>
      <c r="D181" s="1208"/>
      <c r="E181" s="1208" t="s">
        <v>202</v>
      </c>
      <c r="F181" s="1208"/>
      <c r="G181" s="1208" t="s">
        <v>203</v>
      </c>
      <c r="H181" s="1208"/>
    </row>
    <row r="182" spans="1:8" ht="47.4" thickBot="1" x14ac:dyDescent="0.3">
      <c r="A182" s="1298"/>
      <c r="B182" s="626" t="s">
        <v>193</v>
      </c>
      <c r="C182" s="625" t="s">
        <v>181</v>
      </c>
      <c r="D182" s="625" t="s">
        <v>143</v>
      </c>
      <c r="E182" s="625" t="s">
        <v>204</v>
      </c>
      <c r="F182" s="625" t="s">
        <v>145</v>
      </c>
      <c r="G182" s="625" t="s">
        <v>183</v>
      </c>
      <c r="H182" s="625" t="s">
        <v>147</v>
      </c>
    </row>
    <row r="183" spans="1:8" ht="15.6" x14ac:dyDescent="0.25">
      <c r="A183" s="1298"/>
      <c r="B183" s="644" t="s">
        <v>196</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6" x14ac:dyDescent="0.25">
      <c r="A184" s="1298"/>
      <c r="B184" s="645" t="s">
        <v>197</v>
      </c>
      <c r="C184" s="648">
        <f>'G-2 Habitat groups'!S173</f>
        <v>0</v>
      </c>
      <c r="D184" s="648">
        <f>'G-2 Habitat groups'!T173</f>
        <v>0</v>
      </c>
      <c r="E184" s="648">
        <f>'G-2 Habitat groups'!AA173</f>
        <v>0</v>
      </c>
      <c r="F184" s="648">
        <f>'G-2 Habitat groups'!AB173</f>
        <v>0</v>
      </c>
      <c r="G184" s="648">
        <f t="shared" si="26"/>
        <v>0</v>
      </c>
      <c r="H184" s="648">
        <f t="shared" si="26"/>
        <v>0</v>
      </c>
    </row>
    <row r="185" spans="1:8" ht="15.6" x14ac:dyDescent="0.25">
      <c r="A185" s="1298"/>
      <c r="B185" s="645" t="s">
        <v>198</v>
      </c>
      <c r="C185" s="648">
        <f>'G-2 Habitat groups'!S174</f>
        <v>0</v>
      </c>
      <c r="D185" s="648">
        <f>'G-2 Habitat groups'!T174</f>
        <v>0</v>
      </c>
      <c r="E185" s="648">
        <f>'G-2 Habitat groups'!AA174</f>
        <v>0</v>
      </c>
      <c r="F185" s="648">
        <f>'G-2 Habitat groups'!AB174</f>
        <v>0</v>
      </c>
      <c r="G185" s="648">
        <f t="shared" si="26"/>
        <v>0</v>
      </c>
      <c r="H185" s="648">
        <f t="shared" si="26"/>
        <v>0</v>
      </c>
    </row>
    <row r="186" spans="1:8" ht="15.6" x14ac:dyDescent="0.25">
      <c r="A186" s="1298"/>
      <c r="B186" s="645" t="s">
        <v>199</v>
      </c>
      <c r="C186" s="648">
        <f>'G-2 Habitat groups'!S175</f>
        <v>0</v>
      </c>
      <c r="D186" s="648">
        <f>'G-2 Habitat groups'!T175</f>
        <v>0</v>
      </c>
      <c r="E186" s="648">
        <f>'G-2 Habitat groups'!AA175</f>
        <v>0</v>
      </c>
      <c r="F186" s="648">
        <f>'G-2 Habitat groups'!AB175</f>
        <v>0</v>
      </c>
      <c r="G186" s="648">
        <f t="shared" si="26"/>
        <v>0</v>
      </c>
      <c r="H186" s="648">
        <f t="shared" si="26"/>
        <v>0</v>
      </c>
    </row>
    <row r="187" spans="1:8" ht="15.6" x14ac:dyDescent="0.25">
      <c r="A187" s="1298"/>
      <c r="B187" s="645" t="s">
        <v>200</v>
      </c>
      <c r="C187" s="648">
        <f>'G-2 Habitat groups'!S176</f>
        <v>0</v>
      </c>
      <c r="D187" s="648">
        <f>'G-2 Habitat groups'!T176</f>
        <v>0</v>
      </c>
      <c r="E187" s="648">
        <f>'G-2 Habitat groups'!AA176</f>
        <v>0</v>
      </c>
      <c r="F187" s="648">
        <f>'G-2 Habitat groups'!AB176</f>
        <v>0</v>
      </c>
      <c r="G187" s="648">
        <f t="shared" si="26"/>
        <v>0</v>
      </c>
      <c r="H187" s="648">
        <f t="shared" si="26"/>
        <v>0</v>
      </c>
    </row>
    <row r="188" spans="1:8" x14ac:dyDescent="0.25">
      <c r="A188" s="1298"/>
      <c r="B188" s="633"/>
      <c r="C188" s="633"/>
      <c r="D188" s="633"/>
      <c r="E188" s="633"/>
      <c r="F188" s="633"/>
      <c r="G188" s="633"/>
      <c r="H188" s="633"/>
    </row>
    <row r="189" spans="1:8" x14ac:dyDescent="0.25">
      <c r="A189" s="1298"/>
      <c r="B189" s="633"/>
      <c r="C189" s="633"/>
      <c r="D189" s="633"/>
      <c r="E189" s="633"/>
      <c r="F189" s="633"/>
      <c r="G189" s="633"/>
      <c r="H189" s="633"/>
    </row>
    <row r="190" spans="1:8" x14ac:dyDescent="0.25">
      <c r="A190" s="1298"/>
      <c r="B190" s="633"/>
      <c r="C190" s="633"/>
      <c r="D190" s="633"/>
      <c r="E190" s="633"/>
      <c r="F190" s="633"/>
      <c r="G190" s="633"/>
      <c r="H190" s="633"/>
    </row>
    <row r="191" spans="1:8" x14ac:dyDescent="0.25">
      <c r="A191" s="1298"/>
      <c r="B191" s="633"/>
      <c r="C191" s="633"/>
      <c r="D191" s="633"/>
      <c r="E191" s="633"/>
      <c r="F191" s="633"/>
      <c r="G191" s="633"/>
      <c r="H191" s="633"/>
    </row>
    <row r="192" spans="1:8" x14ac:dyDescent="0.25">
      <c r="A192" s="1298"/>
      <c r="B192" s="633"/>
      <c r="C192" s="633"/>
      <c r="D192" s="633"/>
      <c r="E192" s="633"/>
      <c r="F192" s="633"/>
      <c r="G192" s="633"/>
      <c r="H192" s="633"/>
    </row>
    <row r="193" spans="1:8" x14ac:dyDescent="0.25">
      <c r="A193" s="1298"/>
      <c r="B193" s="633"/>
      <c r="C193" s="633"/>
      <c r="D193" s="633"/>
      <c r="E193" s="633"/>
      <c r="F193" s="633"/>
      <c r="G193" s="633"/>
      <c r="H193" s="633"/>
    </row>
    <row r="194" spans="1:8" x14ac:dyDescent="0.25">
      <c r="A194" s="1298"/>
      <c r="B194" s="633"/>
      <c r="C194" s="633"/>
      <c r="D194" s="633"/>
      <c r="E194" s="633"/>
      <c r="F194" s="633"/>
      <c r="G194" s="633"/>
      <c r="H194" s="633"/>
    </row>
    <row r="195" spans="1:8" x14ac:dyDescent="0.25">
      <c r="A195" s="1298"/>
      <c r="B195" s="633"/>
      <c r="C195" s="633"/>
      <c r="D195" s="633"/>
      <c r="E195" s="633"/>
      <c r="F195" s="633"/>
      <c r="G195" s="633"/>
      <c r="H195" s="633"/>
    </row>
    <row r="196" spans="1:8" x14ac:dyDescent="0.25">
      <c r="A196" s="1298"/>
      <c r="B196" s="633"/>
      <c r="C196" s="633"/>
    </row>
    <row r="197" spans="1:8" x14ac:dyDescent="0.25">
      <c r="A197" s="1298"/>
      <c r="B197" s="633"/>
      <c r="C197" s="633"/>
    </row>
    <row r="198" spans="1:8" x14ac:dyDescent="0.25">
      <c r="A198" s="1298"/>
      <c r="B198" s="633"/>
      <c r="C198" s="633"/>
    </row>
    <row r="199" spans="1:8" ht="14.4" thickBot="1" x14ac:dyDescent="0.3">
      <c r="A199" s="1298"/>
      <c r="B199" s="633"/>
      <c r="C199" s="633"/>
    </row>
    <row r="200" spans="1:8" ht="18" thickBot="1" x14ac:dyDescent="0.35">
      <c r="A200" s="1298"/>
      <c r="B200" s="1213" t="s">
        <v>205</v>
      </c>
      <c r="C200" s="1213"/>
      <c r="D200" s="1213"/>
      <c r="E200" s="1213"/>
      <c r="F200" s="1213"/>
      <c r="G200" s="1213"/>
      <c r="H200" s="1213"/>
    </row>
    <row r="201" spans="1:8" ht="16.2" thickBot="1" x14ac:dyDescent="0.3">
      <c r="A201" s="1298"/>
      <c r="B201" s="625"/>
      <c r="C201" s="1208" t="s">
        <v>111</v>
      </c>
      <c r="D201" s="1208"/>
      <c r="E201" s="1208" t="s">
        <v>112</v>
      </c>
      <c r="F201" s="1208"/>
      <c r="G201" s="1208" t="s">
        <v>113</v>
      </c>
      <c r="H201" s="1208"/>
    </row>
    <row r="202" spans="1:8" ht="47.4" thickBot="1" x14ac:dyDescent="0.3">
      <c r="A202" s="1298"/>
      <c r="B202" s="626" t="s">
        <v>193</v>
      </c>
      <c r="C202" s="625" t="s">
        <v>206</v>
      </c>
      <c r="D202" s="625" t="s">
        <v>152</v>
      </c>
      <c r="E202" s="625" t="s">
        <v>187</v>
      </c>
      <c r="F202" s="625" t="s">
        <v>154</v>
      </c>
      <c r="G202" s="625" t="s">
        <v>188</v>
      </c>
      <c r="H202" s="625" t="s">
        <v>156</v>
      </c>
    </row>
    <row r="203" spans="1:8" ht="15.6" x14ac:dyDescent="0.25">
      <c r="A203" s="1298"/>
      <c r="B203" s="644" t="s">
        <v>196</v>
      </c>
      <c r="C203" s="648">
        <f t="shared" ref="C203:H204" si="27">C163+C183</f>
        <v>0</v>
      </c>
      <c r="D203" s="648">
        <f t="shared" si="27"/>
        <v>0</v>
      </c>
      <c r="E203" s="648">
        <f t="shared" si="27"/>
        <v>0</v>
      </c>
      <c r="F203" s="648">
        <f t="shared" si="27"/>
        <v>0</v>
      </c>
      <c r="G203" s="648">
        <f t="shared" si="27"/>
        <v>0</v>
      </c>
      <c r="H203" s="648">
        <f t="shared" si="27"/>
        <v>0</v>
      </c>
    </row>
    <row r="204" spans="1:8" ht="15.6" x14ac:dyDescent="0.25">
      <c r="A204" s="1298"/>
      <c r="B204" s="645" t="s">
        <v>197</v>
      </c>
      <c r="C204" s="648">
        <f t="shared" si="27"/>
        <v>0</v>
      </c>
      <c r="D204" s="648">
        <f t="shared" si="27"/>
        <v>0</v>
      </c>
      <c r="E204" s="648">
        <f t="shared" si="27"/>
        <v>0</v>
      </c>
      <c r="F204" s="648">
        <f t="shared" si="27"/>
        <v>0</v>
      </c>
      <c r="G204" s="648">
        <f t="shared" si="27"/>
        <v>0</v>
      </c>
      <c r="H204" s="648">
        <f t="shared" si="27"/>
        <v>0</v>
      </c>
    </row>
    <row r="205" spans="1:8" ht="15.6" x14ac:dyDescent="0.25">
      <c r="A205" s="1298"/>
      <c r="B205" s="645" t="s">
        <v>198</v>
      </c>
      <c r="C205" s="648">
        <f t="shared" ref="C205:H205" si="28">C165+C185</f>
        <v>0</v>
      </c>
      <c r="D205" s="648">
        <f t="shared" si="28"/>
        <v>0</v>
      </c>
      <c r="E205" s="648">
        <f t="shared" si="28"/>
        <v>0</v>
      </c>
      <c r="F205" s="648">
        <f t="shared" si="28"/>
        <v>0</v>
      </c>
      <c r="G205" s="648">
        <f t="shared" si="28"/>
        <v>0</v>
      </c>
      <c r="H205" s="648">
        <f t="shared" si="28"/>
        <v>0</v>
      </c>
    </row>
    <row r="206" spans="1:8" ht="15.6" x14ac:dyDescent="0.25">
      <c r="A206" s="1298"/>
      <c r="B206" s="645" t="s">
        <v>199</v>
      </c>
      <c r="C206" s="648">
        <f t="shared" ref="C206:H206" si="29">C166+C186</f>
        <v>0</v>
      </c>
      <c r="D206" s="648">
        <f t="shared" si="29"/>
        <v>0</v>
      </c>
      <c r="E206" s="648">
        <f t="shared" si="29"/>
        <v>0</v>
      </c>
      <c r="F206" s="648">
        <f t="shared" si="29"/>
        <v>0</v>
      </c>
      <c r="G206" s="648">
        <f t="shared" si="29"/>
        <v>0</v>
      </c>
      <c r="H206" s="648">
        <f t="shared" si="29"/>
        <v>0</v>
      </c>
    </row>
    <row r="207" spans="1:8" ht="15.6" x14ac:dyDescent="0.25">
      <c r="A207" s="1298"/>
      <c r="B207" s="645" t="s">
        <v>200</v>
      </c>
      <c r="C207" s="648">
        <f t="shared" ref="C207:H207" si="30">C167+C187</f>
        <v>0</v>
      </c>
      <c r="D207" s="648">
        <f t="shared" si="30"/>
        <v>0</v>
      </c>
      <c r="E207" s="648">
        <f t="shared" si="30"/>
        <v>0</v>
      </c>
      <c r="F207" s="648">
        <f t="shared" si="30"/>
        <v>0</v>
      </c>
      <c r="G207" s="648">
        <f t="shared" si="30"/>
        <v>0</v>
      </c>
      <c r="H207" s="648">
        <f t="shared" si="30"/>
        <v>0</v>
      </c>
    </row>
    <row r="208" spans="1:8" x14ac:dyDescent="0.25">
      <c r="A208" s="1298"/>
      <c r="B208" s="633"/>
      <c r="C208" s="633"/>
      <c r="D208" s="633"/>
      <c r="E208" s="633"/>
      <c r="F208" s="633"/>
      <c r="G208" s="633"/>
      <c r="H208" s="633"/>
    </row>
    <row r="209" spans="1:8" x14ac:dyDescent="0.25">
      <c r="A209" s="1298"/>
      <c r="B209" s="633"/>
      <c r="C209" s="633"/>
      <c r="D209" s="633"/>
      <c r="E209" s="633"/>
      <c r="F209" s="633"/>
      <c r="G209" s="633"/>
      <c r="H209" s="633"/>
    </row>
    <row r="210" spans="1:8" x14ac:dyDescent="0.25">
      <c r="A210" s="1298"/>
      <c r="B210" s="633"/>
      <c r="C210" s="633"/>
      <c r="D210" s="633"/>
      <c r="E210" s="633"/>
      <c r="F210" s="633"/>
      <c r="G210" s="633"/>
      <c r="H210" s="633"/>
    </row>
    <row r="211" spans="1:8" x14ac:dyDescent="0.25">
      <c r="A211" s="1298"/>
      <c r="B211" s="633"/>
      <c r="C211" s="633"/>
      <c r="D211" s="633"/>
      <c r="E211" s="633"/>
      <c r="F211" s="633"/>
      <c r="G211" s="633"/>
      <c r="H211" s="633"/>
    </row>
    <row r="212" spans="1:8" x14ac:dyDescent="0.25">
      <c r="B212" s="633"/>
      <c r="C212" s="633"/>
      <c r="D212" s="633"/>
      <c r="E212" s="633"/>
      <c r="F212" s="633"/>
      <c r="G212" s="633"/>
      <c r="H212" s="633"/>
    </row>
    <row r="213" spans="1:8" x14ac:dyDescent="0.25">
      <c r="B213" s="633"/>
      <c r="C213" s="633"/>
      <c r="D213" s="633"/>
      <c r="E213" s="633"/>
      <c r="F213" s="633"/>
      <c r="G213" s="633"/>
      <c r="H213" s="633"/>
    </row>
    <row r="214" spans="1:8" x14ac:dyDescent="0.25">
      <c r="B214" s="633"/>
      <c r="C214" s="633"/>
      <c r="D214" s="633"/>
      <c r="E214" s="633"/>
      <c r="F214" s="633"/>
      <c r="G214" s="633"/>
      <c r="H214" s="633"/>
    </row>
    <row r="215" spans="1:8" x14ac:dyDescent="0.25">
      <c r="B215" s="633"/>
      <c r="C215" s="633"/>
      <c r="D215" s="633"/>
      <c r="E215" s="633"/>
      <c r="F215" s="633"/>
      <c r="G215" s="633"/>
      <c r="H215" s="633"/>
    </row>
  </sheetData>
  <sheetProtection algorithmName="SHA-512" hashValue="penoztb2LxuHf7imCzHBkyRdplpBKq0sodknK/70P8Kbj9EA8rwLtsZXd2Z9yK58qIp2vJmZvIEvyAq4lwrDIg==" saltValue="WdEYaujs864pkl7jCucWRg==" spinCount="100000" sheet="1" objects="1" scenarios="1"/>
  <customSheetViews>
    <customSheetView guid="{8BDA793C-C9C5-4FC6-A0A5-F1109F6D4F22}" scale="80" state="hidden">
      <selection activeCell="D14" sqref="D14"/>
    </customSheetView>
  </customSheetViews>
  <mergeCells count="150">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B20:C20"/>
    <mergeCell ref="B21:C21"/>
    <mergeCell ref="B22:C22"/>
    <mergeCell ref="B24:C24"/>
    <mergeCell ref="B25:C25"/>
    <mergeCell ref="B27:C27"/>
    <mergeCell ref="B28:C28"/>
    <mergeCell ref="D27:E27"/>
    <mergeCell ref="D28:E28"/>
    <mergeCell ref="F20:G20"/>
    <mergeCell ref="F27:G27"/>
    <mergeCell ref="F28:G28"/>
    <mergeCell ref="F30:G30"/>
    <mergeCell ref="F31:G31"/>
    <mergeCell ref="D20:E20"/>
    <mergeCell ref="D21:E21"/>
    <mergeCell ref="D22:E22"/>
    <mergeCell ref="D31:E31"/>
    <mergeCell ref="D30:E30"/>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s>
  <conditionalFormatting sqref="K40 K42 K44 K46 K48">
    <cfRule type="cellIs" dxfId="854" priority="91" operator="greaterThan">
      <formula>0</formula>
    </cfRule>
  </conditionalFormatting>
  <conditionalFormatting sqref="H14:I16">
    <cfRule type="cellIs" dxfId="853" priority="348" operator="equal">
      <formula>"Error"</formula>
    </cfRule>
    <cfRule type="containsText" dxfId="852" priority="1" operator="containsText" text="N/A">
      <formula>NOT(ISERROR(SEARCH("N/A",H14)))</formula>
    </cfRule>
  </conditionalFormatting>
  <conditionalFormatting sqref="D21:D22">
    <cfRule type="cellIs" dxfId="851" priority="45" operator="equal">
      <formula>"Error ▲"</formula>
    </cfRule>
  </conditionalFormatting>
  <conditionalFormatting sqref="D24:D25">
    <cfRule type="cellIs" dxfId="850" priority="44" operator="equal">
      <formula>"Error ▲"</formula>
    </cfRule>
  </conditionalFormatting>
  <conditionalFormatting sqref="D27:D28">
    <cfRule type="cellIs" dxfId="849" priority="43" operator="equal">
      <formula>"Error ▲"</formula>
    </cfRule>
  </conditionalFormatting>
  <conditionalFormatting sqref="D30:D31">
    <cfRule type="cellIs" dxfId="848" priority="22" operator="equal">
      <formula>"Error ▲"</formula>
    </cfRule>
  </conditionalFormatting>
  <conditionalFormatting sqref="H10:I12 H14:I16">
    <cfRule type="containsText" dxfId="847" priority="10" operator="containsText" text="Check">
      <formula>NOT(ISERROR(SEARCH("Check",H10)))</formula>
    </cfRule>
  </conditionalFormatting>
  <conditionalFormatting sqref="I16">
    <cfRule type="expression" dxfId="846" priority="341">
      <formula>AND($H$21&gt;0,$H$16&lt;0.1)</formula>
    </cfRule>
  </conditionalFormatting>
  <conditionalFormatting sqref="H15">
    <cfRule type="expression" dxfId="845" priority="354">
      <formula>AND($F$21&gt;0,$H$15&lt;0.1)</formula>
    </cfRule>
  </conditionalFormatting>
  <conditionalFormatting sqref="H10:I10">
    <cfRule type="cellIs" dxfId="844" priority="353" operator="equal">
      <formula>"Error"</formula>
    </cfRule>
  </conditionalFormatting>
  <conditionalFormatting sqref="H14">
    <cfRule type="expression" dxfId="843" priority="355">
      <formula>AND($D$21&gt;0,$H$14&lt;0.1)</formula>
    </cfRule>
  </conditionalFormatting>
  <conditionalFormatting sqref="K103 K105 K107 K109">
    <cfRule type="cellIs" dxfId="842" priority="7" operator="greaterThan">
      <formula>0</formula>
    </cfRule>
  </conditionalFormatting>
  <conditionalFormatting sqref="K164">
    <cfRule type="cellIs" dxfId="841" priority="6" operator="greaterThan">
      <formula>0</formula>
    </cfRule>
  </conditionalFormatting>
  <conditionalFormatting sqref="K166 K168 K170">
    <cfRule type="cellIs" dxfId="840" priority="5" operator="greaterThan">
      <formula>0</formula>
    </cfRule>
  </conditionalFormatting>
  <conditionalFormatting sqref="K101">
    <cfRule type="cellIs" dxfId="839" priority="4" operator="greaterThan">
      <formula>0</formula>
    </cfRule>
  </conditionalFormatting>
  <conditionalFormatting sqref="H15:I15">
    <cfRule type="expression" dxfId="838" priority="336">
      <formula>AND($F$21&gt;0,$H$16&lt;0.1)</formula>
    </cfRule>
  </conditionalFormatting>
  <conditionalFormatting sqref="H16:I16">
    <cfRule type="expression" dxfId="837" priority="3">
      <formula>AND($H$21&gt;0,$H$16&lt;0.1)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63"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7"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F4D4D4"/>
  </sheetPr>
  <dimension ref="A1:V310"/>
  <sheetViews>
    <sheetView showGridLines="0" zoomScale="80" zoomScaleNormal="80" workbookViewId="0"/>
  </sheetViews>
  <sheetFormatPr defaultColWidth="0" defaultRowHeight="13.8" zeroHeight="1" x14ac:dyDescent="0.25"/>
  <cols>
    <col min="1" max="1" width="17" style="30" customWidth="1"/>
    <col min="2" max="2" width="104.77734375" style="30" bestFit="1" customWidth="1"/>
    <col min="3" max="3" width="24.44140625" style="30" bestFit="1" customWidth="1"/>
    <col min="4" max="4" width="10.5546875" style="30" bestFit="1" customWidth="1"/>
    <col min="5" max="5" width="10.21875" style="30" bestFit="1" customWidth="1"/>
    <col min="6" max="6" width="18.21875" style="30" customWidth="1"/>
    <col min="7" max="7" width="31" style="30" customWidth="1"/>
    <col min="8" max="8" width="5" style="30" customWidth="1"/>
    <col min="9" max="9" width="49.44140625" style="30" customWidth="1"/>
    <col min="10" max="10" width="10.77734375" style="30" customWidth="1"/>
    <col min="11" max="11" width="2" style="30" customWidth="1"/>
    <col min="12" max="12" width="2.5546875" style="30" customWidth="1"/>
    <col min="13" max="13" width="4.21875" style="30" customWidth="1"/>
    <col min="14" max="16" width="9.21875" style="30" customWidth="1"/>
    <col min="17" max="17" width="10.5546875" style="30" customWidth="1"/>
    <col min="18" max="20" width="9.21875" style="30" customWidth="1"/>
    <col min="21" max="22" width="0" style="30" hidden="1" customWidth="1"/>
    <col min="23" max="16384" width="9.21875" style="30" hidden="1"/>
  </cols>
  <sheetData>
    <row r="1" spans="1:17" ht="15" thickBot="1" x14ac:dyDescent="0.3">
      <c r="A1" s="333"/>
      <c r="B1" s="32"/>
      <c r="C1" s="32"/>
      <c r="D1" s="32"/>
      <c r="E1" s="32"/>
      <c r="G1" s="32"/>
      <c r="H1" s="32"/>
      <c r="I1" s="32"/>
      <c r="J1" s="32"/>
      <c r="K1" s="32"/>
      <c r="L1" s="32"/>
      <c r="M1" s="32"/>
      <c r="N1" s="32"/>
      <c r="O1" s="32"/>
      <c r="P1" s="32"/>
      <c r="Q1" s="32"/>
    </row>
    <row r="2" spans="1:17" ht="25.8" thickBot="1" x14ac:dyDescent="0.3">
      <c r="A2" s="32"/>
      <c r="B2" s="1305" t="s">
        <v>207</v>
      </c>
      <c r="C2" s="1306"/>
      <c r="D2" s="1306"/>
      <c r="E2" s="1306"/>
      <c r="F2" s="1306"/>
      <c r="G2" s="1307"/>
      <c r="H2" s="32"/>
      <c r="I2" s="32"/>
      <c r="J2" s="32"/>
      <c r="K2" s="32"/>
      <c r="L2" s="32"/>
      <c r="M2" s="32"/>
      <c r="N2" s="32"/>
      <c r="O2" s="32"/>
      <c r="P2" s="32"/>
      <c r="Q2" s="32"/>
    </row>
    <row r="3" spans="1:17" ht="15" customHeight="1" x14ac:dyDescent="0.25">
      <c r="A3" s="32"/>
      <c r="B3" s="1310" t="s">
        <v>208</v>
      </c>
      <c r="C3" s="1312" t="s">
        <v>209</v>
      </c>
      <c r="D3" s="1312"/>
      <c r="E3" s="1312"/>
      <c r="F3" s="1312"/>
      <c r="G3" s="1308" t="s">
        <v>210</v>
      </c>
      <c r="H3" s="219"/>
      <c r="I3" s="219"/>
      <c r="J3" s="219"/>
      <c r="K3" s="219"/>
      <c r="L3" s="32"/>
      <c r="M3" s="32"/>
      <c r="N3" s="32"/>
      <c r="O3" s="32"/>
      <c r="P3" s="32"/>
      <c r="Q3" s="32"/>
    </row>
    <row r="4" spans="1:17" ht="14.25" customHeight="1" x14ac:dyDescent="0.25">
      <c r="A4" s="32"/>
      <c r="B4" s="1311"/>
      <c r="C4" s="1313"/>
      <c r="D4" s="1313"/>
      <c r="E4" s="1313"/>
      <c r="F4" s="1313"/>
      <c r="G4" s="1309"/>
      <c r="H4" s="219"/>
      <c r="I4" s="219"/>
      <c r="J4" s="219"/>
      <c r="K4" s="219"/>
      <c r="L4" s="32"/>
      <c r="M4" s="32"/>
      <c r="N4" s="32"/>
      <c r="O4" s="32"/>
      <c r="P4" s="32"/>
      <c r="Q4" s="32"/>
    </row>
    <row r="5" spans="1:17" ht="20.399999999999999" x14ac:dyDescent="0.25">
      <c r="A5" s="32"/>
      <c r="B5" s="99" t="s">
        <v>211</v>
      </c>
      <c r="C5" s="1314" t="s">
        <v>212</v>
      </c>
      <c r="D5" s="1315"/>
      <c r="E5" s="1315"/>
      <c r="F5" s="1316"/>
      <c r="G5" s="545" t="str">
        <f>IF(('A-1 On-Site Habitat Baseline'!AQ259+'D-1 Off-Site Habitat Baseline'!AU259)&gt;0,"No ▲","Yes ✓")</f>
        <v>Yes ✓</v>
      </c>
      <c r="H5" s="219"/>
      <c r="I5" s="219"/>
      <c r="J5" s="219"/>
      <c r="K5" s="219"/>
      <c r="L5" s="32"/>
      <c r="M5" s="32"/>
      <c r="N5" s="32"/>
      <c r="O5" s="32"/>
      <c r="P5" s="32"/>
      <c r="Q5" s="32"/>
    </row>
    <row r="6" spans="1:17" ht="22.5" customHeight="1" x14ac:dyDescent="0.25">
      <c r="A6" s="32"/>
      <c r="B6" s="99" t="s">
        <v>213</v>
      </c>
      <c r="C6" s="1299" t="s">
        <v>214</v>
      </c>
      <c r="D6" s="1299"/>
      <c r="E6" s="1299"/>
      <c r="F6" s="1299"/>
      <c r="G6" s="545" t="str">
        <f>IFERROR(IF(J41&lt;0,"No ▲","Yes ✓"),"")</f>
        <v>Yes ✓</v>
      </c>
      <c r="H6" s="32"/>
      <c r="I6" s="32"/>
      <c r="J6" s="32"/>
      <c r="K6" s="32"/>
      <c r="L6" s="32"/>
      <c r="M6" s="32"/>
      <c r="N6" s="32"/>
      <c r="O6" s="32"/>
      <c r="P6" s="32"/>
      <c r="Q6" s="32"/>
    </row>
    <row r="7" spans="1:17" ht="19.5" customHeight="1" x14ac:dyDescent="0.25">
      <c r="A7" s="32"/>
      <c r="B7" s="99" t="s">
        <v>70</v>
      </c>
      <c r="C7" s="1300" t="s">
        <v>215</v>
      </c>
      <c r="D7" s="1300"/>
      <c r="E7" s="1300"/>
      <c r="F7" s="1300"/>
      <c r="G7" s="546" t="str">
        <f>IF(J40+J12+J89&lt;0,"No ▲","Yes ✓")</f>
        <v>Yes ✓</v>
      </c>
      <c r="H7" s="32"/>
      <c r="I7" s="32"/>
      <c r="J7" s="32"/>
      <c r="K7" s="32"/>
      <c r="L7" s="32"/>
      <c r="M7" s="32"/>
      <c r="N7" s="32"/>
      <c r="O7" s="32"/>
      <c r="P7" s="32"/>
      <c r="Q7" s="32"/>
    </row>
    <row r="8" spans="1:17" ht="18.75" customHeight="1" thickBot="1" x14ac:dyDescent="0.3">
      <c r="A8" s="32"/>
      <c r="B8" s="74" t="s">
        <v>216</v>
      </c>
      <c r="C8" s="1301" t="s">
        <v>217</v>
      </c>
      <c r="D8" s="1301"/>
      <c r="E8" s="1301"/>
      <c r="F8" s="1301"/>
      <c r="G8" s="547" t="str">
        <f>IF(J126&lt;0,"No ▲","Yes ✓")</f>
        <v>Yes ✓</v>
      </c>
      <c r="H8" s="32"/>
      <c r="I8" s="32"/>
      <c r="J8" s="32"/>
      <c r="K8" s="32"/>
      <c r="L8" s="32"/>
      <c r="M8" s="32"/>
      <c r="N8" s="32"/>
      <c r="O8" s="32"/>
      <c r="P8" s="32"/>
      <c r="Q8" s="32"/>
    </row>
    <row r="9" spans="1:17" ht="14.25" customHeight="1" x14ac:dyDescent="0.25">
      <c r="A9" s="32"/>
      <c r="B9" s="32"/>
      <c r="C9" s="32"/>
      <c r="D9" s="32"/>
      <c r="E9" s="32"/>
      <c r="F9" s="32"/>
      <c r="G9" s="32"/>
      <c r="H9" s="32"/>
      <c r="I9" s="32"/>
      <c r="J9" s="32"/>
      <c r="K9" s="32"/>
      <c r="L9" s="32"/>
      <c r="M9" s="32"/>
      <c r="N9" s="32"/>
      <c r="O9" s="32"/>
      <c r="P9" s="32"/>
      <c r="Q9" s="32"/>
    </row>
    <row r="10" spans="1:17" ht="14.4" thickBot="1" x14ac:dyDescent="0.3">
      <c r="A10" s="32"/>
      <c r="B10" s="32"/>
      <c r="C10" s="32"/>
      <c r="D10" s="32"/>
      <c r="E10" s="32"/>
      <c r="F10" s="32"/>
      <c r="G10" s="32"/>
      <c r="H10" s="32"/>
      <c r="I10" s="32"/>
      <c r="J10" s="32"/>
      <c r="K10" s="32"/>
      <c r="L10" s="32"/>
      <c r="M10" s="32"/>
      <c r="N10" s="32"/>
      <c r="O10" s="32"/>
      <c r="P10" s="32"/>
      <c r="Q10" s="32"/>
    </row>
    <row r="11" spans="1:17" ht="25.8" thickBot="1" x14ac:dyDescent="0.3">
      <c r="A11" s="32"/>
      <c r="B11" s="1305" t="s">
        <v>218</v>
      </c>
      <c r="C11" s="1306"/>
      <c r="D11" s="1306"/>
      <c r="E11" s="1306"/>
      <c r="F11" s="1306"/>
      <c r="G11" s="1307"/>
      <c r="H11" s="32"/>
      <c r="I11" s="1319" t="s">
        <v>219</v>
      </c>
      <c r="J11" s="1320"/>
      <c r="K11" s="32"/>
      <c r="L11" s="32"/>
      <c r="M11" s="32"/>
      <c r="N11" s="32"/>
      <c r="O11" s="32"/>
      <c r="P11" s="32"/>
      <c r="Q11" s="32"/>
    </row>
    <row r="12" spans="1:17" s="33" customFormat="1" ht="47.4" thickBot="1" x14ac:dyDescent="0.3">
      <c r="A12" s="32"/>
      <c r="B12" s="70" t="s">
        <v>114</v>
      </c>
      <c r="C12" s="71" t="s">
        <v>220</v>
      </c>
      <c r="D12" s="71" t="s">
        <v>221</v>
      </c>
      <c r="E12" s="71" t="s">
        <v>147</v>
      </c>
      <c r="F12" s="71" t="s">
        <v>222</v>
      </c>
      <c r="G12" s="72" t="s">
        <v>223</v>
      </c>
      <c r="H12" s="32"/>
      <c r="I12" s="282" t="s">
        <v>224</v>
      </c>
      <c r="J12" s="348">
        <f>SUMIF($F$13:$F$32,"&gt;0")</f>
        <v>0</v>
      </c>
      <c r="K12" s="32"/>
      <c r="L12" s="32"/>
      <c r="M12" s="32"/>
      <c r="N12" s="32"/>
      <c r="O12" s="32"/>
      <c r="P12" s="32"/>
      <c r="Q12" s="32"/>
    </row>
    <row r="13" spans="1:17" ht="15.75" customHeight="1" x14ac:dyDescent="0.25">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27" t="str">
        <f>IF($G$33&lt;0,"Very high distinctiveness unit defecit - CHECK DATA","")</f>
        <v/>
      </c>
      <c r="J13" s="1327"/>
      <c r="K13" s="32"/>
      <c r="L13" s="32"/>
      <c r="M13" s="32"/>
      <c r="N13" s="32"/>
      <c r="O13" s="32"/>
      <c r="P13" s="32"/>
      <c r="Q13" s="32"/>
    </row>
    <row r="14" spans="1:17" x14ac:dyDescent="0.25">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x14ac:dyDescent="0.25">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x14ac:dyDescent="0.25">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x14ac:dyDescent="0.25">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x14ac:dyDescent="0.25">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x14ac:dyDescent="0.25">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x14ac:dyDescent="0.25">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x14ac:dyDescent="0.25">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x14ac:dyDescent="0.25">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x14ac:dyDescent="0.25">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x14ac:dyDescent="0.25">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x14ac:dyDescent="0.25">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x14ac:dyDescent="0.25">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x14ac:dyDescent="0.25">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x14ac:dyDescent="0.25">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x14ac:dyDescent="0.25">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x14ac:dyDescent="0.25">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x14ac:dyDescent="0.25">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4.4" thickBot="1" x14ac:dyDescent="0.3">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4.4" thickBot="1" x14ac:dyDescent="0.3">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x14ac:dyDescent="0.25">
      <c r="A34" s="32"/>
      <c r="B34" s="32"/>
      <c r="C34" s="32"/>
      <c r="D34" s="32"/>
      <c r="E34" s="32"/>
      <c r="F34" s="32"/>
      <c r="G34" s="32"/>
      <c r="H34" s="32"/>
      <c r="I34" s="32"/>
      <c r="J34" s="32"/>
      <c r="K34" s="32"/>
      <c r="L34" s="32"/>
      <c r="M34" s="32"/>
      <c r="N34" s="32"/>
      <c r="O34" s="32"/>
      <c r="P34" s="32"/>
      <c r="Q34" s="32"/>
    </row>
    <row r="35" spans="1:17" x14ac:dyDescent="0.25">
      <c r="A35" s="32"/>
      <c r="B35" s="32"/>
      <c r="C35" s="32"/>
      <c r="D35" s="32"/>
      <c r="E35" s="32"/>
      <c r="F35" s="32"/>
      <c r="G35" s="32"/>
      <c r="H35" s="32"/>
      <c r="I35" s="32"/>
      <c r="J35" s="32"/>
      <c r="K35" s="32"/>
      <c r="L35" s="32"/>
      <c r="M35" s="32"/>
      <c r="N35" s="32"/>
      <c r="O35" s="32"/>
      <c r="P35" s="32"/>
      <c r="Q35" s="32"/>
    </row>
    <row r="36" spans="1:17" x14ac:dyDescent="0.25">
      <c r="A36" s="32"/>
      <c r="B36" s="32"/>
      <c r="C36" s="32"/>
      <c r="D36" s="32"/>
      <c r="E36" s="32"/>
      <c r="F36" s="32"/>
      <c r="G36" s="32"/>
      <c r="H36" s="32"/>
      <c r="I36" s="32"/>
      <c r="J36" s="32"/>
      <c r="K36" s="32"/>
      <c r="L36" s="32"/>
      <c r="M36" s="32"/>
      <c r="N36" s="32"/>
      <c r="O36" s="32"/>
      <c r="P36" s="32"/>
      <c r="Q36" s="32"/>
    </row>
    <row r="37" spans="1:17" x14ac:dyDescent="0.25">
      <c r="A37" s="32"/>
      <c r="B37" s="32"/>
      <c r="C37" s="32"/>
      <c r="D37" s="32"/>
      <c r="E37" s="32"/>
      <c r="F37" s="32"/>
      <c r="G37" s="32"/>
      <c r="H37" s="32"/>
      <c r="I37" s="32"/>
      <c r="J37" s="32"/>
      <c r="K37" s="32"/>
      <c r="L37" s="32"/>
      <c r="M37" s="32"/>
      <c r="N37" s="32"/>
      <c r="O37" s="32"/>
      <c r="P37" s="32"/>
      <c r="Q37" s="32"/>
    </row>
    <row r="38" spans="1:17" ht="14.4" thickBot="1" x14ac:dyDescent="0.3">
      <c r="A38" s="32"/>
      <c r="B38" s="32"/>
      <c r="C38" s="32"/>
      <c r="D38" s="32"/>
      <c r="E38" s="32"/>
      <c r="F38" s="32"/>
      <c r="G38" s="32"/>
      <c r="H38" s="32"/>
      <c r="I38" s="32"/>
      <c r="J38" s="32"/>
      <c r="K38" s="32"/>
      <c r="L38" s="32"/>
      <c r="M38" s="32"/>
      <c r="N38" s="32"/>
      <c r="O38" s="32"/>
      <c r="P38" s="32"/>
      <c r="Q38" s="32"/>
    </row>
    <row r="39" spans="1:17" ht="25.8" thickBot="1" x14ac:dyDescent="0.3">
      <c r="A39" s="32"/>
      <c r="B39" s="1302" t="s">
        <v>225</v>
      </c>
      <c r="C39" s="1303"/>
      <c r="D39" s="1303"/>
      <c r="E39" s="1303"/>
      <c r="F39" s="1303"/>
      <c r="G39" s="1304"/>
      <c r="H39" s="32"/>
      <c r="I39" s="1319" t="s">
        <v>226</v>
      </c>
      <c r="J39" s="1320"/>
      <c r="K39" s="32"/>
      <c r="L39" s="32"/>
      <c r="M39" s="32"/>
    </row>
    <row r="40" spans="1:17" ht="46.8" x14ac:dyDescent="0.25">
      <c r="A40" s="32"/>
      <c r="B40" s="754" t="s">
        <v>114</v>
      </c>
      <c r="C40" s="715" t="s">
        <v>220</v>
      </c>
      <c r="D40" s="715" t="s">
        <v>221</v>
      </c>
      <c r="E40" s="715" t="s">
        <v>147</v>
      </c>
      <c r="F40" s="715" t="s">
        <v>222</v>
      </c>
      <c r="G40" s="755" t="s">
        <v>227</v>
      </c>
      <c r="H40" s="32"/>
      <c r="I40" s="73" t="s">
        <v>228</v>
      </c>
      <c r="J40" s="350">
        <f>SUMIF($F$41:$F$81,"&gt;0")</f>
        <v>0</v>
      </c>
      <c r="K40" s="32"/>
      <c r="L40" s="32"/>
      <c r="M40" s="32"/>
      <c r="N40" s="32"/>
      <c r="O40" s="32"/>
    </row>
    <row r="41" spans="1:17" ht="14.4" thickBot="1" x14ac:dyDescent="0.3">
      <c r="A41" s="32"/>
      <c r="B41" s="271" t="str">
        <f>'G-2 Habitat groups'!AU30</f>
        <v>Grassland - Traditional orchards</v>
      </c>
      <c r="C41" s="272" t="str">
        <f>'G-2 Habitat groups'!AV30</f>
        <v>Grassland</v>
      </c>
      <c r="D41" s="346">
        <f>'G-2 Habitat groups'!BB30</f>
        <v>0</v>
      </c>
      <c r="E41" s="346">
        <f>'G-2 Habitat groups'!BD30</f>
        <v>0</v>
      </c>
      <c r="F41" s="346">
        <f>'G-2 Habitat groups'!BE30</f>
        <v>0</v>
      </c>
      <c r="G41" s="347" t="str">
        <f>'G-2 Habitat groups'!BF30</f>
        <v/>
      </c>
      <c r="H41" s="32"/>
      <c r="I41" s="74" t="s">
        <v>229</v>
      </c>
      <c r="J41" s="351">
        <f>G83</f>
        <v>0</v>
      </c>
      <c r="K41" s="32"/>
      <c r="L41" s="32"/>
      <c r="M41" s="32"/>
      <c r="N41" s="32"/>
      <c r="O41" s="32"/>
    </row>
    <row r="42" spans="1:17" x14ac:dyDescent="0.25">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x14ac:dyDescent="0.25">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x14ac:dyDescent="0.25">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x14ac:dyDescent="0.25">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x14ac:dyDescent="0.25">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x14ac:dyDescent="0.25">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x14ac:dyDescent="0.25">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x14ac:dyDescent="0.25">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x14ac:dyDescent="0.25">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x14ac:dyDescent="0.2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x14ac:dyDescent="0.2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x14ac:dyDescent="0.2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x14ac:dyDescent="0.25">
      <c r="A54" s="32"/>
      <c r="B54" s="271" t="str">
        <f>'G-2 Habitat groups'!AU44</f>
        <v>Lakes - Ponds (priority habitat)</v>
      </c>
      <c r="C54" s="272" t="str">
        <f>'G-2 Habitat groups'!AV44</f>
        <v>Lakes</v>
      </c>
      <c r="D54" s="346">
        <f>'G-2 Habitat groups'!BB44</f>
        <v>0</v>
      </c>
      <c r="E54" s="346">
        <f>'G-2 Habitat groups'!BD44</f>
        <v>0</v>
      </c>
      <c r="F54" s="346">
        <f>'G-2 Habitat groups'!BE44</f>
        <v>0</v>
      </c>
      <c r="G54" s="347" t="str">
        <f>'G-2 Habitat groups'!BF44</f>
        <v/>
      </c>
      <c r="H54" s="32"/>
      <c r="I54" s="32"/>
      <c r="J54" s="32"/>
      <c r="K54" s="32"/>
      <c r="L54" s="32"/>
      <c r="M54" s="32"/>
    </row>
    <row r="55" spans="1:15" ht="15" customHeight="1" x14ac:dyDescent="0.25">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x14ac:dyDescent="0.25">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x14ac:dyDescent="0.2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x14ac:dyDescent="0.2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x14ac:dyDescent="0.2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x14ac:dyDescent="0.2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x14ac:dyDescent="0.25">
      <c r="A61" s="32"/>
      <c r="B61" s="271" t="str">
        <f>'G-2 Habitat groups'!AU51</f>
        <v>Wetland - Reedbeds</v>
      </c>
      <c r="C61" s="272" t="str">
        <f>'G-2 Habitat groups'!AV51</f>
        <v>Wetland</v>
      </c>
      <c r="D61" s="346">
        <f>'G-2 Habitat groups'!BB51</f>
        <v>0</v>
      </c>
      <c r="E61" s="346">
        <f>'G-2 Habitat groups'!BD51</f>
        <v>0</v>
      </c>
      <c r="F61" s="346">
        <f>'G-2 Habitat groups'!BE51</f>
        <v>0</v>
      </c>
      <c r="G61" s="347" t="str">
        <f>'G-2 Habitat groups'!BF51</f>
        <v/>
      </c>
      <c r="H61" s="32"/>
      <c r="K61" s="32"/>
      <c r="L61" s="32"/>
      <c r="M61" s="32"/>
      <c r="N61" s="32"/>
      <c r="O61" s="32"/>
    </row>
    <row r="62" spans="1:15" x14ac:dyDescent="0.2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x14ac:dyDescent="0.2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x14ac:dyDescent="0.25">
      <c r="A64" s="32"/>
      <c r="B64" s="271" t="str">
        <f>'G-2 Habitat groups'!AU54</f>
        <v>Woodland and forest - Lowland mixed deciduous woodland</v>
      </c>
      <c r="C64" s="272" t="str">
        <f>'G-2 Habitat groups'!AV54</f>
        <v>Woodland and forest</v>
      </c>
      <c r="D64" s="346">
        <f>'G-2 Habitat groups'!BB54</f>
        <v>0</v>
      </c>
      <c r="E64" s="346">
        <f>'G-2 Habitat groups'!BD54</f>
        <v>0</v>
      </c>
      <c r="F64" s="346">
        <f>'G-2 Habitat groups'!BE54</f>
        <v>0</v>
      </c>
      <c r="G64" s="347" t="str">
        <f>'G-2 Habitat groups'!BF54</f>
        <v/>
      </c>
      <c r="H64" s="32"/>
      <c r="I64" s="32"/>
      <c r="J64" s="32"/>
      <c r="K64" s="32"/>
      <c r="L64" s="32"/>
      <c r="M64" s="32"/>
      <c r="N64" s="32"/>
      <c r="O64" s="32"/>
    </row>
    <row r="65" spans="1:15" x14ac:dyDescent="0.2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x14ac:dyDescent="0.2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x14ac:dyDescent="0.2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x14ac:dyDescent="0.2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55" customHeight="1" x14ac:dyDescent="0.25">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x14ac:dyDescent="0.2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x14ac:dyDescent="0.2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x14ac:dyDescent="0.2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x14ac:dyDescent="0.2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x14ac:dyDescent="0.2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x14ac:dyDescent="0.2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x14ac:dyDescent="0.2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x14ac:dyDescent="0.2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x14ac:dyDescent="0.2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x14ac:dyDescent="0.2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x14ac:dyDescent="0.2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x14ac:dyDescent="0.25">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4.4" thickBot="1" x14ac:dyDescent="0.3">
      <c r="A82" s="32"/>
      <c r="B82" s="273" t="s">
        <v>230</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4.4" thickBot="1" x14ac:dyDescent="0.3">
      <c r="A83" s="32"/>
      <c r="B83" s="32"/>
      <c r="C83" s="32"/>
      <c r="D83" s="609">
        <f>SUM(D41:D81)</f>
        <v>0</v>
      </c>
      <c r="E83" s="610">
        <f>SUM(E41:E81)</f>
        <v>0</v>
      </c>
      <c r="F83" s="344">
        <f>SUM(F41:F81)</f>
        <v>0</v>
      </c>
      <c r="G83" s="714">
        <f>SUM(G41:G81)</f>
        <v>0</v>
      </c>
      <c r="H83" s="32"/>
      <c r="I83" s="32"/>
      <c r="J83" s="32"/>
      <c r="K83" s="32"/>
      <c r="L83" s="32"/>
      <c r="M83" s="32"/>
      <c r="N83" s="32"/>
      <c r="O83" s="32"/>
      <c r="P83" s="32"/>
      <c r="Q83" s="32"/>
    </row>
    <row r="84" spans="1:17" x14ac:dyDescent="0.25">
      <c r="A84" s="32"/>
      <c r="B84" s="32"/>
      <c r="C84" s="32"/>
      <c r="D84" s="32"/>
      <c r="E84" s="32"/>
      <c r="F84" s="32"/>
      <c r="G84" s="32"/>
      <c r="H84" s="32"/>
      <c r="I84" s="32"/>
      <c r="J84" s="32"/>
      <c r="K84" s="32"/>
      <c r="L84" s="32"/>
      <c r="M84" s="32"/>
      <c r="N84" s="32"/>
      <c r="O84" s="32"/>
      <c r="P84" s="32"/>
      <c r="Q84" s="32"/>
    </row>
    <row r="85" spans="1:17" x14ac:dyDescent="0.25">
      <c r="A85" s="32"/>
      <c r="B85" s="32"/>
      <c r="C85" s="32"/>
      <c r="D85" s="32"/>
      <c r="E85" s="32"/>
      <c r="F85" s="32"/>
      <c r="G85" s="32"/>
      <c r="H85" s="32"/>
      <c r="I85" s="32"/>
      <c r="J85" s="32"/>
      <c r="K85" s="32"/>
      <c r="L85" s="32"/>
      <c r="M85" s="32"/>
      <c r="N85" s="32"/>
      <c r="O85" s="32"/>
      <c r="P85" s="32"/>
      <c r="Q85" s="32"/>
    </row>
    <row r="86" spans="1:17" ht="14.4" thickBot="1" x14ac:dyDescent="0.3">
      <c r="A86" s="32"/>
      <c r="B86" s="32"/>
      <c r="C86" s="32"/>
      <c r="D86" s="32"/>
      <c r="E86" s="32"/>
      <c r="F86" s="32"/>
      <c r="G86" s="32"/>
      <c r="H86" s="32"/>
      <c r="I86" s="32"/>
      <c r="J86" s="32"/>
      <c r="K86" s="32"/>
      <c r="L86" s="32"/>
      <c r="M86" s="32"/>
      <c r="N86" s="32"/>
      <c r="O86" s="32"/>
      <c r="P86" s="32"/>
      <c r="Q86" s="32"/>
    </row>
    <row r="87" spans="1:17" ht="28.2" thickBot="1" x14ac:dyDescent="0.45">
      <c r="A87" s="32"/>
      <c r="B87" s="1324" t="s">
        <v>231</v>
      </c>
      <c r="C87" s="1325"/>
      <c r="D87" s="1325"/>
      <c r="E87" s="1325"/>
      <c r="F87" s="1325"/>
      <c r="G87" s="1326"/>
      <c r="H87" s="32"/>
      <c r="I87" s="1317" t="s">
        <v>232</v>
      </c>
      <c r="J87" s="1318"/>
      <c r="K87" s="32"/>
      <c r="L87" s="32"/>
      <c r="M87" s="32"/>
      <c r="N87" s="32"/>
      <c r="O87" s="32"/>
    </row>
    <row r="88" spans="1:17" ht="47.4" thickBot="1" x14ac:dyDescent="0.3">
      <c r="A88" s="32"/>
      <c r="B88" s="275" t="s">
        <v>114</v>
      </c>
      <c r="C88" s="276" t="s">
        <v>220</v>
      </c>
      <c r="D88" s="276" t="s">
        <v>120</v>
      </c>
      <c r="E88" s="276" t="s">
        <v>147</v>
      </c>
      <c r="F88" s="276" t="s">
        <v>233</v>
      </c>
      <c r="G88" s="277" t="s">
        <v>234</v>
      </c>
      <c r="H88" s="32"/>
      <c r="I88" s="73" t="s">
        <v>248</v>
      </c>
      <c r="J88" s="352">
        <f>SUMIF(G89:G115,"&gt;0")</f>
        <v>73.946008162796019</v>
      </c>
      <c r="K88" s="32"/>
      <c r="L88" s="32"/>
    </row>
    <row r="89" spans="1:17" ht="27.6" x14ac:dyDescent="0.25">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21">
        <f>SUM(F89:F92)</f>
        <v>0</v>
      </c>
      <c r="H89" s="32"/>
      <c r="I89" s="99" t="s">
        <v>235</v>
      </c>
      <c r="J89" s="353">
        <f>SUMIF(G89:G115,"&lt;0")</f>
        <v>0</v>
      </c>
      <c r="K89" s="32"/>
      <c r="L89" s="32"/>
    </row>
    <row r="90" spans="1:17" ht="27.6" x14ac:dyDescent="0.25">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22"/>
      <c r="H90" s="32"/>
      <c r="I90" s="99" t="s">
        <v>1680</v>
      </c>
      <c r="J90" s="353">
        <f>J40+J12+J89</f>
        <v>0</v>
      </c>
    </row>
    <row r="91" spans="1:17" ht="14.4" thickBot="1" x14ac:dyDescent="0.3">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22"/>
      <c r="H91" s="32"/>
      <c r="I91" s="74" t="s">
        <v>236</v>
      </c>
      <c r="J91" s="351">
        <f>J90+J88</f>
        <v>73.946008162796019</v>
      </c>
      <c r="K91" s="32"/>
      <c r="L91" s="32"/>
    </row>
    <row r="92" spans="1:17" ht="14.4" thickBot="1" x14ac:dyDescent="0.3">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22"/>
      <c r="H92" s="32"/>
      <c r="I92" s="32"/>
      <c r="J92" s="32"/>
      <c r="K92" s="32"/>
      <c r="L92" s="32"/>
    </row>
    <row r="93" spans="1:17" x14ac:dyDescent="0.25">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21">
        <f>SUM(F93:F95)</f>
        <v>63.793125504139212</v>
      </c>
      <c r="H93" s="32"/>
      <c r="I93" s="32"/>
      <c r="J93" s="32"/>
      <c r="K93" s="32"/>
      <c r="L93" s="32"/>
    </row>
    <row r="94" spans="1:17" x14ac:dyDescent="0.25">
      <c r="A94" s="32"/>
      <c r="B94" s="271" t="str">
        <f>'G-2 Habitat groups'!AU85</f>
        <v>Grassland - Other neutral grassland</v>
      </c>
      <c r="C94" s="272" t="str">
        <f>'G-2 Habitat groups'!AV85</f>
        <v>Grassland</v>
      </c>
      <c r="D94" s="346">
        <f>'G-2 Habitat groups'!BB85</f>
        <v>63.793125504139212</v>
      </c>
      <c r="E94" s="346">
        <f>'G-2 Habitat groups'!BD85</f>
        <v>0</v>
      </c>
      <c r="F94" s="346">
        <f>'G-2 Habitat groups'!BE85</f>
        <v>63.793125504139212</v>
      </c>
      <c r="G94" s="1322"/>
      <c r="H94" s="32"/>
      <c r="I94" s="32"/>
      <c r="J94" s="32"/>
      <c r="K94" s="32"/>
      <c r="L94" s="32"/>
    </row>
    <row r="95" spans="1:17" ht="14.4" thickBot="1" x14ac:dyDescent="0.3">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23"/>
      <c r="H95" s="32"/>
      <c r="I95" s="32"/>
      <c r="J95" s="32"/>
      <c r="K95" s="32"/>
      <c r="L95" s="32"/>
      <c r="M95" s="32"/>
    </row>
    <row r="96" spans="1:17" x14ac:dyDescent="0.25">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21">
        <f>SUM(F96:F102)</f>
        <v>4.2411501687728004</v>
      </c>
      <c r="H96" s="32"/>
      <c r="I96" s="32"/>
      <c r="J96" s="32"/>
      <c r="K96" s="32"/>
      <c r="L96" s="32"/>
      <c r="M96" s="32"/>
    </row>
    <row r="97" spans="1:15" x14ac:dyDescent="0.2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22"/>
      <c r="H97" s="32"/>
      <c r="I97" s="32"/>
      <c r="J97" s="32"/>
      <c r="K97" s="32"/>
      <c r="L97" s="32"/>
      <c r="M97" s="32"/>
    </row>
    <row r="98" spans="1:15" x14ac:dyDescent="0.25">
      <c r="A98" s="32"/>
      <c r="B98" s="271" t="str">
        <f>'G-2 Habitat groups'!AU89</f>
        <v>Heathland and shrub - Gorse scrub</v>
      </c>
      <c r="C98" s="272" t="str">
        <f>'G-2 Habitat groups'!AV89</f>
        <v>Heathland and shrub</v>
      </c>
      <c r="D98" s="346">
        <f>'G-2 Habitat groups'!BB89</f>
        <v>0</v>
      </c>
      <c r="E98" s="346">
        <f>'G-2 Habitat groups'!BD89</f>
        <v>0</v>
      </c>
      <c r="F98" s="346">
        <f>'G-2 Habitat groups'!BE89</f>
        <v>0</v>
      </c>
      <c r="G98" s="1322"/>
      <c r="H98" s="32"/>
      <c r="I98" s="32"/>
      <c r="J98" s="32"/>
      <c r="K98" s="32"/>
      <c r="L98" s="32"/>
      <c r="M98" s="32"/>
    </row>
    <row r="99" spans="1:15" x14ac:dyDescent="0.2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22"/>
      <c r="H99" s="32"/>
      <c r="I99" s="32"/>
      <c r="J99" s="32"/>
      <c r="K99" s="32"/>
      <c r="L99" s="32"/>
      <c r="M99" s="32"/>
    </row>
    <row r="100" spans="1:15" x14ac:dyDescent="0.2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22"/>
      <c r="H100" s="32"/>
      <c r="I100" s="32"/>
      <c r="J100" s="32"/>
      <c r="K100" s="32"/>
      <c r="L100" s="32"/>
      <c r="M100" s="32"/>
    </row>
    <row r="101" spans="1:15" x14ac:dyDescent="0.2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22"/>
      <c r="H101" s="32"/>
      <c r="I101" s="32"/>
      <c r="J101" s="32"/>
      <c r="K101" s="32"/>
      <c r="L101" s="32"/>
      <c r="M101" s="32"/>
      <c r="N101" s="32"/>
      <c r="O101" s="32"/>
    </row>
    <row r="102" spans="1:15" ht="14.4" thickBot="1" x14ac:dyDescent="0.3">
      <c r="A102" s="32"/>
      <c r="B102" s="273" t="str">
        <f>'G-2 Habitat groups'!AU92</f>
        <v>Heathland and shrub - Mixed scrub</v>
      </c>
      <c r="C102" s="274" t="str">
        <f>'G-2 Habitat groups'!AV92</f>
        <v>Heathland and shrub</v>
      </c>
      <c r="D102" s="355">
        <f>'G-2 Habitat groups'!BB92</f>
        <v>4.2411501687728004</v>
      </c>
      <c r="E102" s="355">
        <f>'G-2 Habitat groups'!BD92</f>
        <v>0</v>
      </c>
      <c r="F102" s="355">
        <f>'G-2 Habitat groups'!BE92</f>
        <v>4.2411501687728004</v>
      </c>
      <c r="G102" s="1323"/>
      <c r="H102" s="32"/>
      <c r="I102" s="32"/>
      <c r="J102" s="32"/>
      <c r="K102" s="32"/>
      <c r="L102" s="32"/>
      <c r="M102" s="32"/>
      <c r="N102" s="32"/>
      <c r="O102" s="32"/>
    </row>
    <row r="103" spans="1:15" x14ac:dyDescent="0.2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21">
        <f>SUM(F103:F104)</f>
        <v>0</v>
      </c>
      <c r="H103" s="32"/>
      <c r="K103" s="32"/>
      <c r="L103" s="32"/>
      <c r="M103" s="32"/>
      <c r="N103" s="32"/>
      <c r="O103" s="32"/>
    </row>
    <row r="104" spans="1:15" ht="14.4" thickBot="1" x14ac:dyDescent="0.3">
      <c r="A104" s="32"/>
      <c r="B104" s="273" t="str">
        <f>'G-2 Habitat groups'!AU94</f>
        <v>Lakes - Reservoirs</v>
      </c>
      <c r="C104" s="274" t="str">
        <f>'G-2 Habitat groups'!AV94</f>
        <v>Lakes</v>
      </c>
      <c r="D104" s="355">
        <f>'G-2 Habitat groups'!BB94</f>
        <v>0</v>
      </c>
      <c r="E104" s="355">
        <f>'G-2 Habitat groups'!BD94</f>
        <v>0</v>
      </c>
      <c r="F104" s="355">
        <f>'G-2 Habitat groups'!BE94</f>
        <v>0</v>
      </c>
      <c r="G104" s="1323"/>
      <c r="H104" s="32"/>
      <c r="K104" s="32"/>
      <c r="L104" s="32"/>
      <c r="M104" s="32"/>
      <c r="N104" s="32"/>
      <c r="O104" s="32"/>
    </row>
    <row r="105" spans="1:15" ht="14.4" thickBot="1" x14ac:dyDescent="0.3">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x14ac:dyDescent="0.2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21">
        <f>SUM(F106:F107)</f>
        <v>0</v>
      </c>
      <c r="H106" s="32"/>
      <c r="I106" s="32"/>
      <c r="J106" s="32"/>
      <c r="K106" s="32"/>
      <c r="L106" s="32"/>
      <c r="M106" s="32"/>
      <c r="N106" s="32"/>
      <c r="O106" s="32"/>
    </row>
    <row r="107" spans="1:15" ht="15" customHeight="1" thickBot="1" x14ac:dyDescent="0.3">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22"/>
      <c r="H107" s="32"/>
      <c r="I107" s="32"/>
      <c r="J107" s="32"/>
      <c r="K107" s="32"/>
      <c r="L107" s="32"/>
      <c r="M107" s="32"/>
      <c r="N107" s="32"/>
      <c r="O107" s="32"/>
    </row>
    <row r="108" spans="1:15" ht="15.75" customHeight="1" x14ac:dyDescent="0.25">
      <c r="A108" s="32"/>
      <c r="B108" s="571" t="str">
        <f>'G-2 Habitat groups'!AU105</f>
        <v>Individual trees - Urban tree</v>
      </c>
      <c r="C108" s="572" t="str">
        <f>'G-2 Habitat groups'!AV105</f>
        <v>Individual trees</v>
      </c>
      <c r="D108" s="573">
        <f>'G-2 Habitat groups'!BB105</f>
        <v>0</v>
      </c>
      <c r="E108" s="573">
        <f>'G-2 Habitat groups'!BD105</f>
        <v>0</v>
      </c>
      <c r="F108" s="354">
        <f>'G-2 Habitat groups'!BE105</f>
        <v>0</v>
      </c>
      <c r="G108" s="1321">
        <f>SUM(F108:F109)</f>
        <v>0</v>
      </c>
      <c r="H108" s="32"/>
      <c r="I108" s="32"/>
      <c r="J108" s="32"/>
      <c r="K108" s="32"/>
      <c r="L108" s="32"/>
      <c r="M108" s="32"/>
      <c r="N108" s="32"/>
      <c r="O108" s="32"/>
    </row>
    <row r="109" spans="1:15" ht="15.75" customHeight="1" thickBot="1" x14ac:dyDescent="0.3">
      <c r="A109" s="32"/>
      <c r="B109" s="574" t="str">
        <f>'G-2 Habitat groups'!AU80</f>
        <v>Individual trees - Rural tree</v>
      </c>
      <c r="C109" s="575" t="str">
        <f>'G-2 Habitat groups'!AV80</f>
        <v>Individual trees</v>
      </c>
      <c r="D109" s="576">
        <f>'G-2 Habitat groups'!BB80</f>
        <v>0</v>
      </c>
      <c r="E109" s="576">
        <f>'G-2 Habitat groups'!BD80</f>
        <v>0</v>
      </c>
      <c r="F109" s="355">
        <f>'G-2 Habitat groups'!BE80</f>
        <v>0</v>
      </c>
      <c r="G109" s="1323"/>
      <c r="H109" s="32"/>
      <c r="I109" s="32"/>
      <c r="J109" s="32"/>
      <c r="K109" s="32"/>
      <c r="L109" s="32"/>
      <c r="M109" s="32"/>
      <c r="N109" s="32"/>
      <c r="O109" s="32"/>
    </row>
    <row r="110" spans="1:15" x14ac:dyDescent="0.2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21">
        <f>SUM(F110:F112)</f>
        <v>5.9117324898840025</v>
      </c>
      <c r="H110" s="32"/>
      <c r="I110" s="32"/>
      <c r="J110" s="32"/>
      <c r="K110" s="32"/>
      <c r="L110" s="32"/>
      <c r="M110" s="32"/>
      <c r="N110" s="32"/>
      <c r="O110" s="32"/>
    </row>
    <row r="111" spans="1:15" x14ac:dyDescent="0.25">
      <c r="A111" s="32"/>
      <c r="B111" s="271" t="str">
        <f>'G-2 Habitat groups'!AU99</f>
        <v>Woodland and forest - Other woodland; broadleaved</v>
      </c>
      <c r="C111" s="272" t="str">
        <f>'G-2 Habitat groups'!AV99</f>
        <v>Woodland and forest</v>
      </c>
      <c r="D111" s="346">
        <f>'G-2 Habitat groups'!BB99</f>
        <v>5.9117324898840025</v>
      </c>
      <c r="E111" s="346">
        <f>'G-2 Habitat groups'!BD99</f>
        <v>0</v>
      </c>
      <c r="F111" s="346">
        <f>'G-2 Habitat groups'!BE99</f>
        <v>5.9117324898840025</v>
      </c>
      <c r="G111" s="1322"/>
      <c r="H111" s="32"/>
      <c r="I111" s="32"/>
      <c r="J111" s="32"/>
      <c r="K111" s="32"/>
      <c r="L111" s="32"/>
      <c r="M111" s="32"/>
      <c r="N111" s="32"/>
      <c r="O111" s="32"/>
    </row>
    <row r="112" spans="1:15" ht="14.4" thickBot="1" x14ac:dyDescent="0.3">
      <c r="A112" s="32"/>
      <c r="B112" s="273" t="str">
        <f>'G-2 Habitat groups'!AU100</f>
        <v>Woodland and forest - Other woodland; mixed</v>
      </c>
      <c r="C112" s="274" t="str">
        <f>'G-2 Habitat groups'!AV100</f>
        <v>Woodland and forest</v>
      </c>
      <c r="D112" s="355">
        <f>'G-2 Habitat groups'!BB100</f>
        <v>0</v>
      </c>
      <c r="E112" s="355">
        <f>'G-2 Habitat groups'!BD100</f>
        <v>0</v>
      </c>
      <c r="F112" s="355">
        <f>'G-2 Habitat groups'!BE100</f>
        <v>0</v>
      </c>
      <c r="G112" s="1323"/>
      <c r="H112" s="32"/>
      <c r="I112" s="32"/>
      <c r="J112" s="32"/>
      <c r="K112" s="32"/>
      <c r="L112" s="32"/>
      <c r="M112" s="32"/>
      <c r="N112" s="32"/>
      <c r="O112" s="32"/>
    </row>
    <row r="113" spans="1:17" x14ac:dyDescent="0.25">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21">
        <f>SUM(F113:F115)</f>
        <v>0</v>
      </c>
      <c r="H113" s="32"/>
      <c r="I113" s="32"/>
      <c r="J113" s="32"/>
      <c r="K113" s="32"/>
      <c r="L113" s="32"/>
      <c r="M113" s="32"/>
      <c r="N113" s="32"/>
      <c r="O113" s="32"/>
    </row>
    <row r="114" spans="1:17" x14ac:dyDescent="0.25">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22"/>
      <c r="H114" s="32"/>
      <c r="I114" s="32"/>
      <c r="J114" s="32"/>
      <c r="K114" s="32"/>
      <c r="L114" s="32"/>
      <c r="M114" s="32"/>
      <c r="N114" s="32"/>
      <c r="O114" s="32"/>
    </row>
    <row r="115" spans="1:17" ht="21" customHeight="1" thickBot="1" x14ac:dyDescent="0.3">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23"/>
      <c r="H115" s="32"/>
      <c r="I115" s="32"/>
      <c r="J115" s="32"/>
      <c r="K115" s="32"/>
      <c r="L115" s="32"/>
      <c r="M115" s="32"/>
      <c r="N115" s="32"/>
      <c r="O115" s="32"/>
    </row>
    <row r="116" spans="1:17" ht="14.55" customHeight="1" thickBot="1" x14ac:dyDescent="0.3">
      <c r="A116" s="32"/>
      <c r="B116" s="32"/>
      <c r="C116" s="32"/>
      <c r="D116" s="342">
        <f>SUM(D89:D115)</f>
        <v>73.946008162796019</v>
      </c>
      <c r="E116" s="343">
        <f>SUM(E89:E115)</f>
        <v>0</v>
      </c>
      <c r="F116" s="344">
        <f>SUM(F89:F115)</f>
        <v>73.946008162796019</v>
      </c>
      <c r="H116" s="32"/>
      <c r="I116" s="32"/>
      <c r="J116" s="32"/>
      <c r="K116" s="32"/>
      <c r="L116" s="32"/>
      <c r="M116" s="32"/>
      <c r="N116" s="32"/>
      <c r="O116" s="32"/>
    </row>
    <row r="117" spans="1:17" x14ac:dyDescent="0.25">
      <c r="A117" s="32"/>
      <c r="B117" s="32"/>
      <c r="C117" s="32"/>
      <c r="D117" s="32"/>
      <c r="E117" s="32"/>
      <c r="F117" s="32"/>
      <c r="G117" s="32"/>
      <c r="H117" s="32"/>
      <c r="I117" s="32"/>
      <c r="J117" s="32"/>
      <c r="K117" s="32"/>
      <c r="L117" s="32"/>
      <c r="M117" s="32"/>
      <c r="N117" s="32"/>
      <c r="O117" s="32"/>
      <c r="P117" s="32"/>
      <c r="Q117" s="32"/>
    </row>
    <row r="118" spans="1:17" x14ac:dyDescent="0.25">
      <c r="A118" s="32"/>
      <c r="B118" s="32"/>
      <c r="C118" s="32"/>
      <c r="D118" s="32"/>
      <c r="E118" s="32"/>
      <c r="F118" s="32"/>
      <c r="G118" s="32"/>
      <c r="H118" s="32"/>
      <c r="I118" s="32"/>
      <c r="J118" s="32"/>
      <c r="K118" s="32"/>
      <c r="L118" s="32"/>
      <c r="M118" s="32"/>
      <c r="N118" s="32"/>
      <c r="O118" s="32"/>
      <c r="P118" s="32"/>
      <c r="Q118" s="32"/>
    </row>
    <row r="119" spans="1:17" x14ac:dyDescent="0.25">
      <c r="A119" s="32"/>
      <c r="B119" s="32"/>
      <c r="C119" s="32"/>
      <c r="D119" s="32"/>
      <c r="E119" s="32"/>
      <c r="F119" s="32"/>
      <c r="G119" s="32"/>
      <c r="H119" s="32"/>
      <c r="I119" s="32"/>
      <c r="J119" s="32"/>
      <c r="K119" s="32"/>
      <c r="L119" s="32"/>
      <c r="M119" s="32"/>
      <c r="N119" s="32"/>
      <c r="O119" s="32"/>
      <c r="P119" s="32"/>
      <c r="Q119" s="32"/>
    </row>
    <row r="120" spans="1:17" x14ac:dyDescent="0.25">
      <c r="A120" s="32"/>
      <c r="B120" s="32"/>
      <c r="C120" s="32"/>
      <c r="D120" s="32"/>
      <c r="E120" s="32"/>
      <c r="F120" s="32"/>
      <c r="G120" s="32"/>
      <c r="H120" s="32"/>
      <c r="I120" s="32"/>
      <c r="J120" s="32"/>
      <c r="K120" s="32"/>
      <c r="L120" s="32"/>
      <c r="M120" s="32"/>
      <c r="N120" s="32"/>
      <c r="O120" s="32"/>
      <c r="P120" s="32"/>
      <c r="Q120" s="32"/>
    </row>
    <row r="121" spans="1:17" x14ac:dyDescent="0.25">
      <c r="A121" s="32"/>
      <c r="B121" s="32"/>
      <c r="C121" s="32"/>
      <c r="D121" s="32"/>
      <c r="E121" s="32"/>
      <c r="F121" s="32"/>
      <c r="G121" s="32"/>
      <c r="H121" s="32"/>
      <c r="I121" s="32"/>
      <c r="J121" s="32"/>
      <c r="K121" s="32"/>
      <c r="L121" s="32"/>
      <c r="M121" s="32"/>
      <c r="N121" s="32"/>
      <c r="O121" s="32"/>
      <c r="P121" s="32"/>
      <c r="Q121" s="32"/>
    </row>
    <row r="122" spans="1:17" ht="14.4" thickBot="1" x14ac:dyDescent="0.3">
      <c r="A122" s="32"/>
      <c r="B122" s="32"/>
      <c r="C122" s="32"/>
      <c r="D122" s="32"/>
      <c r="E122" s="32"/>
      <c r="F122" s="32"/>
      <c r="G122" s="32"/>
      <c r="H122" s="32"/>
      <c r="I122" s="32"/>
      <c r="J122" s="32"/>
      <c r="K122" s="32"/>
      <c r="L122" s="32"/>
      <c r="M122" s="32"/>
      <c r="N122" s="32"/>
      <c r="O122" s="32"/>
      <c r="P122" s="32"/>
      <c r="Q122" s="32"/>
    </row>
    <row r="123" spans="1:17" ht="25.8" thickBot="1" x14ac:dyDescent="0.3">
      <c r="A123" s="32"/>
      <c r="B123" s="1305" t="s">
        <v>237</v>
      </c>
      <c r="C123" s="1306"/>
      <c r="D123" s="1306"/>
      <c r="E123" s="1306"/>
      <c r="F123" s="1307"/>
      <c r="G123" s="32"/>
      <c r="H123" s="32"/>
      <c r="I123" s="32"/>
      <c r="J123" s="32"/>
      <c r="K123" s="32"/>
      <c r="L123" s="32"/>
      <c r="M123" s="32"/>
      <c r="N123" s="32"/>
      <c r="O123" s="32"/>
    </row>
    <row r="124" spans="1:17" ht="47.4" thickBot="1" x14ac:dyDescent="0.45">
      <c r="A124" s="32"/>
      <c r="B124" s="70" t="s">
        <v>114</v>
      </c>
      <c r="C124" s="71" t="s">
        <v>220</v>
      </c>
      <c r="D124" s="71" t="s">
        <v>221</v>
      </c>
      <c r="E124" s="71" t="s">
        <v>147</v>
      </c>
      <c r="F124" s="72" t="s">
        <v>233</v>
      </c>
      <c r="G124" s="32"/>
      <c r="H124" s="32"/>
      <c r="I124" s="1317" t="s">
        <v>238</v>
      </c>
      <c r="J124" s="1318"/>
      <c r="K124" s="32"/>
      <c r="L124" s="32"/>
      <c r="M124" s="32"/>
      <c r="N124" s="32"/>
    </row>
    <row r="125" spans="1:17" x14ac:dyDescent="0.25">
      <c r="A125" s="32"/>
      <c r="B125" s="215" t="str">
        <f>'G-2 Habitat groups'!AU113</f>
        <v>Cropland - Cereal crops</v>
      </c>
      <c r="C125" s="79" t="str">
        <f>'G-2 Habitat groups'!AV113</f>
        <v>Cropland</v>
      </c>
      <c r="D125" s="358">
        <f>'G-2 Habitat groups'!BB113</f>
        <v>-0.82411999999999996</v>
      </c>
      <c r="E125" s="358">
        <f>'G-2 Habitat groups'!BD113</f>
        <v>0</v>
      </c>
      <c r="F125" s="347">
        <f>'G-2 Habitat groups'!BE113</f>
        <v>-0.82411999999999996</v>
      </c>
      <c r="G125" s="32"/>
      <c r="H125" s="32"/>
      <c r="I125" s="73" t="s">
        <v>239</v>
      </c>
      <c r="J125" s="352">
        <f>F163</f>
        <v>23.951482239327198</v>
      </c>
      <c r="K125" s="32"/>
      <c r="L125" s="32"/>
      <c r="M125" s="32"/>
      <c r="N125" s="32"/>
    </row>
    <row r="126" spans="1:17" ht="14.4" thickBot="1" x14ac:dyDescent="0.3">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236</v>
      </c>
      <c r="J126" s="351">
        <f>J125+J91</f>
        <v>97.897490402123225</v>
      </c>
      <c r="K126" s="32"/>
      <c r="L126" s="32"/>
      <c r="M126" s="32"/>
      <c r="N126" s="32"/>
    </row>
    <row r="127" spans="1:17" x14ac:dyDescent="0.25">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x14ac:dyDescent="0.25">
      <c r="A128" s="32"/>
      <c r="B128" s="215" t="str">
        <f>'G-2 Habitat groups'!AU116</f>
        <v>Cropland - Non-cereal crops</v>
      </c>
      <c r="C128" s="79" t="str">
        <f>'G-2 Habitat groups'!AV116</f>
        <v>Cropland</v>
      </c>
      <c r="D128" s="358">
        <f>'G-2 Habitat groups'!BB116</f>
        <v>-31.380000000000003</v>
      </c>
      <c r="E128" s="358">
        <f>'G-2 Habitat groups'!BD116</f>
        <v>0</v>
      </c>
      <c r="F128" s="347">
        <f>'G-2 Habitat groups'!BE116</f>
        <v>-31.380000000000003</v>
      </c>
      <c r="G128" s="32"/>
      <c r="H128" s="32"/>
      <c r="I128" s="32"/>
      <c r="J128" s="32"/>
      <c r="K128" s="32"/>
      <c r="L128" s="32"/>
      <c r="M128" s="32"/>
      <c r="N128" s="32"/>
    </row>
    <row r="129" spans="1:14" x14ac:dyDescent="0.25">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x14ac:dyDescent="0.25">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x14ac:dyDescent="0.25">
      <c r="A131" s="32"/>
      <c r="B131" s="215" t="str">
        <f>'G-2 Habitat groups'!AU119</f>
        <v>Grassland - Modified grassland</v>
      </c>
      <c r="C131" s="79" t="str">
        <f>'G-2 Habitat groups'!AV119</f>
        <v>Grassland</v>
      </c>
      <c r="D131" s="358">
        <f>'G-2 Habitat groups'!BB119</f>
        <v>56.155602239327202</v>
      </c>
      <c r="E131" s="358">
        <f>'G-2 Habitat groups'!BD119</f>
        <v>0</v>
      </c>
      <c r="F131" s="347">
        <f>'G-2 Habitat groups'!BE119</f>
        <v>56.155602239327202</v>
      </c>
      <c r="G131" s="32"/>
      <c r="H131" s="32"/>
      <c r="I131" s="32"/>
      <c r="J131" s="32"/>
      <c r="K131" s="32"/>
      <c r="L131" s="32"/>
      <c r="M131" s="32"/>
      <c r="N131" s="32"/>
    </row>
    <row r="132" spans="1:14" x14ac:dyDescent="0.25">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x14ac:dyDescent="0.25">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x14ac:dyDescent="0.25">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x14ac:dyDescent="0.25">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x14ac:dyDescent="0.25">
      <c r="A136" s="32"/>
      <c r="B136" s="215" t="str">
        <f>'G-2 Habitat groups'!AU151</f>
        <v>Sparsely vegetated land - Tall forbs</v>
      </c>
      <c r="C136" s="79" t="str">
        <f>'G-2 Habitat groups'!AV151</f>
        <v>Sparsely vegetated land</v>
      </c>
      <c r="D136" s="358">
        <f>'G-2 Habitat groups'!BB151</f>
        <v>0</v>
      </c>
      <c r="E136" s="358">
        <f>'G-2 Habitat groups'!BD151</f>
        <v>0</v>
      </c>
      <c r="F136" s="347">
        <f>'G-2 Habitat groups'!BE151</f>
        <v>0</v>
      </c>
      <c r="G136" s="32"/>
      <c r="H136" s="32"/>
      <c r="I136" s="32"/>
      <c r="J136" s="32"/>
      <c r="K136" s="32"/>
      <c r="L136" s="32"/>
      <c r="M136" s="32"/>
      <c r="N136" s="32"/>
    </row>
    <row r="137" spans="1:14" x14ac:dyDescent="0.25">
      <c r="A137" s="32"/>
      <c r="B137" s="215" t="str">
        <f>'G-2 Habitat groups'!AU124</f>
        <v>Urban - Bioswale</v>
      </c>
      <c r="C137" s="79" t="str">
        <f>'G-2 Habitat groups'!AV124</f>
        <v>Urban</v>
      </c>
      <c r="D137" s="358">
        <f>'G-2 Habitat groups'!BB124</f>
        <v>0</v>
      </c>
      <c r="E137" s="358">
        <f>'G-2 Habitat groups'!BD124</f>
        <v>0</v>
      </c>
      <c r="F137" s="347">
        <f>'G-2 Habitat groups'!BE124</f>
        <v>0</v>
      </c>
      <c r="G137" s="32"/>
      <c r="H137" s="32"/>
      <c r="I137" s="32"/>
      <c r="J137" s="32"/>
      <c r="K137" s="32"/>
      <c r="L137" s="32"/>
      <c r="M137" s="32"/>
      <c r="N137" s="32"/>
    </row>
    <row r="138" spans="1:14" x14ac:dyDescent="0.25">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x14ac:dyDescent="0.25">
      <c r="A139" s="32"/>
      <c r="B139" s="215" t="str">
        <f>'G-2 Habitat groups'!AU125</f>
        <v>Urban - Allotments</v>
      </c>
      <c r="C139" s="79" t="str">
        <f>'G-2 Habitat groups'!AV125</f>
        <v>Urban</v>
      </c>
      <c r="D139" s="358">
        <f>'G-2 Habitat groups'!BB125</f>
        <v>0</v>
      </c>
      <c r="E139" s="358">
        <f>'G-2 Habitat groups'!BD125</f>
        <v>0</v>
      </c>
      <c r="F139" s="347">
        <f>'G-2 Habitat groups'!BE125</f>
        <v>0</v>
      </c>
      <c r="G139" s="32"/>
      <c r="H139" s="32"/>
      <c r="I139" s="32"/>
      <c r="J139" s="32"/>
      <c r="K139" s="32"/>
      <c r="L139" s="32"/>
      <c r="M139" s="32"/>
      <c r="N139" s="32"/>
    </row>
    <row r="140" spans="1:14" x14ac:dyDescent="0.25">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x14ac:dyDescent="0.25">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x14ac:dyDescent="0.25">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x14ac:dyDescent="0.25">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x14ac:dyDescent="0.25">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x14ac:dyDescent="0.25">
      <c r="A145" s="32"/>
      <c r="B145" s="215" t="str">
        <f>'G-2 Habitat groups'!AU130</f>
        <v>Urban - Introduced shrub</v>
      </c>
      <c r="C145" s="79" t="str">
        <f>'G-2 Habitat groups'!AV130</f>
        <v>Urban</v>
      </c>
      <c r="D145" s="358">
        <f>'G-2 Habitat groups'!BB130</f>
        <v>0</v>
      </c>
      <c r="E145" s="358">
        <f>'G-2 Habitat groups'!BD130</f>
        <v>0</v>
      </c>
      <c r="F145" s="347">
        <f>'G-2 Habitat groups'!BE130</f>
        <v>0</v>
      </c>
      <c r="G145" s="32"/>
      <c r="H145" s="32"/>
      <c r="I145" s="32"/>
      <c r="J145" s="32"/>
      <c r="K145" s="32"/>
      <c r="L145" s="32"/>
      <c r="M145" s="32"/>
      <c r="N145" s="32"/>
    </row>
    <row r="146" spans="1:15" x14ac:dyDescent="0.2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x14ac:dyDescent="0.2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x14ac:dyDescent="0.25">
      <c r="A148" s="32"/>
      <c r="B148" s="215" t="str">
        <f>'G-2 Habitat groups'!AU135</f>
        <v>Urban - Sustainable drainage system</v>
      </c>
      <c r="C148" s="79" t="str">
        <f>'G-2 Habitat groups'!AV135</f>
        <v>Urban</v>
      </c>
      <c r="D148" s="358">
        <f>'G-2 Habitat groups'!BB135</f>
        <v>0</v>
      </c>
      <c r="E148" s="358">
        <f>'G-2 Habitat groups'!BD135</f>
        <v>0</v>
      </c>
      <c r="F148" s="347">
        <f>'G-2 Habitat groups'!BE135</f>
        <v>0</v>
      </c>
      <c r="G148" s="32"/>
      <c r="H148" s="32"/>
      <c r="I148" s="32"/>
      <c r="J148" s="32"/>
      <c r="K148" s="32"/>
      <c r="L148" s="32"/>
      <c r="M148" s="32"/>
      <c r="N148" s="32"/>
      <c r="O148" s="32"/>
    </row>
    <row r="149" spans="1:15" x14ac:dyDescent="0.2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x14ac:dyDescent="0.25">
      <c r="A150" s="32"/>
      <c r="B150" s="215" t="str">
        <f>'G-2 Habitat groups'!AU137</f>
        <v>Urban - Vegetated garden</v>
      </c>
      <c r="C150" s="79" t="str">
        <f>'G-2 Habitat groups'!AV137</f>
        <v>Urban</v>
      </c>
      <c r="D150" s="358">
        <f>'G-2 Habitat groups'!BB137</f>
        <v>0</v>
      </c>
      <c r="E150" s="358">
        <f>'G-2 Habitat groups'!BD137</f>
        <v>0</v>
      </c>
      <c r="F150" s="347">
        <f>'G-2 Habitat groups'!BE137</f>
        <v>0</v>
      </c>
      <c r="G150" s="32"/>
      <c r="H150" s="32"/>
      <c r="I150" s="32"/>
      <c r="J150" s="32"/>
      <c r="K150" s="32"/>
      <c r="L150" s="32"/>
      <c r="M150" s="32"/>
      <c r="N150" s="32"/>
      <c r="O150" s="32"/>
    </row>
    <row r="151" spans="1:15" x14ac:dyDescent="0.2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x14ac:dyDescent="0.2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x14ac:dyDescent="0.2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x14ac:dyDescent="0.2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x14ac:dyDescent="0.2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x14ac:dyDescent="0.2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x14ac:dyDescent="0.2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x14ac:dyDescent="0.2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x14ac:dyDescent="0.2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x14ac:dyDescent="0.2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x14ac:dyDescent="0.25">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4.4" thickBot="1" x14ac:dyDescent="0.3">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4.4" thickBot="1" x14ac:dyDescent="0.3">
      <c r="A163" s="32"/>
      <c r="B163" s="32"/>
      <c r="C163" s="32"/>
      <c r="D163" s="414">
        <f>SUM(D125:D162)</f>
        <v>23.951482239327198</v>
      </c>
      <c r="E163" s="133"/>
      <c r="F163" s="414">
        <f>SUM(F125:F162)</f>
        <v>23.951482239327198</v>
      </c>
      <c r="G163" s="32"/>
      <c r="H163" s="32"/>
      <c r="I163" s="32"/>
      <c r="J163" s="32"/>
      <c r="K163" s="32"/>
      <c r="L163" s="32"/>
      <c r="M163" s="32"/>
      <c r="N163" s="32"/>
      <c r="O163" s="32"/>
      <c r="P163" s="32"/>
      <c r="Q163" s="32"/>
    </row>
    <row r="164" spans="1:17" x14ac:dyDescent="0.25">
      <c r="A164" s="32"/>
      <c r="G164" s="32"/>
      <c r="H164" s="32"/>
      <c r="I164" s="32"/>
      <c r="J164" s="32"/>
      <c r="K164" s="32"/>
      <c r="L164" s="32"/>
      <c r="M164" s="32"/>
      <c r="N164" s="32"/>
      <c r="O164" s="32"/>
      <c r="P164" s="32"/>
      <c r="Q164" s="32"/>
    </row>
    <row r="165" spans="1:17" hidden="1" x14ac:dyDescent="0.25">
      <c r="A165" s="32"/>
      <c r="B165" s="32"/>
      <c r="C165" s="32"/>
      <c r="D165" s="32"/>
      <c r="E165" s="32"/>
      <c r="F165" s="32"/>
      <c r="G165" s="32"/>
      <c r="H165" s="32"/>
      <c r="I165" s="32"/>
      <c r="J165" s="32"/>
      <c r="K165" s="32"/>
      <c r="L165" s="32"/>
      <c r="M165" s="32"/>
      <c r="N165" s="32"/>
      <c r="O165" s="32"/>
      <c r="P165" s="32"/>
      <c r="Q165" s="32"/>
    </row>
    <row r="166" spans="1:17" hidden="1" x14ac:dyDescent="0.25">
      <c r="A166" s="32"/>
      <c r="B166" s="32"/>
      <c r="C166" s="32"/>
      <c r="D166" s="32"/>
      <c r="E166" s="32"/>
      <c r="F166" s="32"/>
      <c r="G166" s="32"/>
      <c r="H166" s="32"/>
      <c r="I166" s="32"/>
      <c r="J166" s="32"/>
      <c r="K166" s="32"/>
      <c r="L166" s="32"/>
      <c r="M166" s="32"/>
      <c r="N166" s="32"/>
      <c r="O166" s="32"/>
      <c r="P166" s="32"/>
      <c r="Q166" s="32"/>
    </row>
    <row r="167" spans="1:17" hidden="1" x14ac:dyDescent="0.25">
      <c r="A167" s="32"/>
      <c r="B167" s="32"/>
      <c r="C167" s="32"/>
      <c r="D167" s="32"/>
      <c r="E167" s="32"/>
      <c r="F167" s="32"/>
      <c r="G167" s="32"/>
      <c r="H167" s="32"/>
      <c r="I167" s="32"/>
      <c r="J167" s="32"/>
      <c r="K167" s="32"/>
      <c r="L167" s="32"/>
      <c r="M167" s="32"/>
      <c r="N167" s="32"/>
      <c r="O167" s="32"/>
      <c r="P167" s="32"/>
      <c r="Q167" s="32"/>
    </row>
    <row r="168" spans="1:17" hidden="1" x14ac:dyDescent="0.25">
      <c r="A168" s="32"/>
      <c r="B168" s="32"/>
      <c r="C168" s="32"/>
      <c r="D168" s="32"/>
      <c r="E168" s="32"/>
      <c r="F168" s="32"/>
      <c r="G168" s="32"/>
      <c r="H168" s="32"/>
      <c r="I168" s="32"/>
      <c r="J168" s="32"/>
      <c r="K168" s="32"/>
      <c r="L168" s="32"/>
      <c r="M168" s="32"/>
      <c r="N168" s="32"/>
      <c r="O168" s="32"/>
      <c r="P168" s="32"/>
      <c r="Q168" s="32"/>
    </row>
    <row r="169" spans="1:17" hidden="1" x14ac:dyDescent="0.25">
      <c r="A169" s="32"/>
      <c r="B169" s="32"/>
      <c r="C169" s="32"/>
      <c r="D169" s="32"/>
      <c r="E169" s="32"/>
      <c r="F169" s="32"/>
      <c r="G169" s="32"/>
      <c r="H169" s="32"/>
      <c r="I169" s="32"/>
      <c r="J169" s="32"/>
      <c r="K169" s="32"/>
      <c r="L169" s="32"/>
      <c r="M169" s="32"/>
      <c r="N169" s="32"/>
      <c r="O169" s="32"/>
      <c r="P169" s="32"/>
      <c r="Q169" s="32"/>
    </row>
    <row r="170" spans="1:17" hidden="1" x14ac:dyDescent="0.25">
      <c r="A170" s="32"/>
      <c r="B170" s="32"/>
      <c r="C170" s="32"/>
      <c r="D170" s="32"/>
      <c r="E170" s="32"/>
      <c r="F170" s="32"/>
      <c r="G170" s="32"/>
      <c r="H170" s="32"/>
      <c r="I170" s="32"/>
      <c r="J170" s="32"/>
      <c r="K170" s="32"/>
      <c r="L170" s="32"/>
      <c r="M170" s="32"/>
      <c r="N170" s="32"/>
      <c r="O170" s="32"/>
      <c r="P170" s="32"/>
      <c r="Q170" s="32"/>
    </row>
    <row r="171" spans="1:17" hidden="1" x14ac:dyDescent="0.25">
      <c r="A171" s="32"/>
      <c r="B171" s="32"/>
      <c r="C171" s="32"/>
      <c r="D171" s="32"/>
      <c r="E171" s="32"/>
      <c r="F171" s="32"/>
      <c r="G171" s="32"/>
      <c r="H171" s="32"/>
      <c r="I171" s="32"/>
      <c r="J171" s="32"/>
      <c r="K171" s="32"/>
      <c r="L171" s="32"/>
      <c r="M171" s="32"/>
      <c r="N171" s="32"/>
      <c r="O171" s="32"/>
      <c r="P171" s="32"/>
      <c r="Q171" s="32"/>
    </row>
    <row r="172" spans="1:17" hidden="1" x14ac:dyDescent="0.25">
      <c r="A172" s="32"/>
      <c r="B172" s="32"/>
      <c r="C172" s="32"/>
      <c r="D172" s="32"/>
      <c r="E172" s="32"/>
      <c r="F172" s="32"/>
      <c r="G172" s="32"/>
      <c r="H172" s="32"/>
      <c r="I172" s="32"/>
      <c r="J172" s="32"/>
      <c r="K172" s="32"/>
      <c r="L172" s="32"/>
      <c r="M172" s="32"/>
      <c r="N172" s="32"/>
      <c r="O172" s="32"/>
      <c r="P172" s="32"/>
      <c r="Q172" s="32"/>
    </row>
    <row r="173" spans="1:17" hidden="1" x14ac:dyDescent="0.25">
      <c r="A173" s="32"/>
      <c r="B173" s="32"/>
      <c r="C173" s="32"/>
      <c r="D173" s="32"/>
      <c r="E173" s="32"/>
      <c r="F173" s="32"/>
      <c r="G173" s="32"/>
      <c r="H173" s="32"/>
      <c r="I173" s="32"/>
      <c r="J173" s="32"/>
      <c r="K173" s="32"/>
      <c r="L173" s="32"/>
      <c r="M173" s="32"/>
      <c r="N173" s="32"/>
      <c r="O173" s="32"/>
      <c r="P173" s="32"/>
      <c r="Q173" s="32"/>
    </row>
    <row r="174" spans="1:17" hidden="1" x14ac:dyDescent="0.25">
      <c r="A174" s="32"/>
      <c r="B174" s="32"/>
      <c r="C174" s="32"/>
      <c r="D174" s="32"/>
      <c r="E174" s="32"/>
      <c r="F174" s="32"/>
      <c r="G174" s="32"/>
      <c r="H174" s="32"/>
      <c r="I174" s="32"/>
      <c r="J174" s="32"/>
      <c r="K174" s="32"/>
      <c r="L174" s="32"/>
      <c r="M174" s="32"/>
      <c r="N174" s="32"/>
      <c r="O174" s="32"/>
      <c r="P174" s="32"/>
      <c r="Q174" s="32"/>
    </row>
    <row r="175" spans="1:17" hidden="1" x14ac:dyDescent="0.25">
      <c r="A175" s="32"/>
      <c r="B175" s="32"/>
      <c r="C175" s="32"/>
      <c r="D175" s="32"/>
      <c r="E175" s="32"/>
      <c r="F175" s="32"/>
      <c r="G175" s="32"/>
      <c r="H175" s="32"/>
      <c r="I175" s="32"/>
      <c r="J175" s="32"/>
      <c r="K175" s="32"/>
      <c r="L175" s="32"/>
      <c r="M175" s="32"/>
      <c r="N175" s="32"/>
      <c r="O175" s="32"/>
      <c r="P175" s="32"/>
      <c r="Q175" s="32"/>
    </row>
    <row r="176" spans="1:17" hidden="1" x14ac:dyDescent="0.25">
      <c r="A176" s="32"/>
      <c r="B176" s="32"/>
      <c r="C176" s="32"/>
      <c r="D176" s="32"/>
      <c r="E176" s="32"/>
      <c r="F176" s="32"/>
      <c r="G176" s="32"/>
      <c r="H176" s="32"/>
      <c r="I176" s="32"/>
      <c r="J176" s="32"/>
      <c r="K176" s="32"/>
      <c r="L176" s="32"/>
      <c r="M176" s="32"/>
      <c r="N176" s="32"/>
      <c r="O176" s="32"/>
      <c r="P176" s="32"/>
      <c r="Q176" s="32"/>
    </row>
    <row r="177" spans="1:17" hidden="1" x14ac:dyDescent="0.25">
      <c r="A177" s="32"/>
      <c r="B177" s="32"/>
      <c r="C177" s="32"/>
      <c r="D177" s="32"/>
      <c r="E177" s="32"/>
      <c r="F177" s="32"/>
      <c r="G177" s="32"/>
      <c r="H177" s="32"/>
      <c r="I177" s="32"/>
      <c r="J177" s="32"/>
      <c r="K177" s="32"/>
      <c r="L177" s="32"/>
      <c r="M177" s="32"/>
      <c r="N177" s="32"/>
      <c r="O177" s="32"/>
      <c r="P177" s="32"/>
      <c r="Q177" s="32"/>
    </row>
    <row r="178" spans="1:17" hidden="1" x14ac:dyDescent="0.25">
      <c r="A178" s="32"/>
      <c r="B178" s="32"/>
      <c r="C178" s="32"/>
      <c r="D178" s="32"/>
      <c r="E178" s="32"/>
      <c r="F178" s="32"/>
      <c r="G178" s="32"/>
      <c r="H178" s="32"/>
      <c r="I178" s="32"/>
      <c r="J178" s="32"/>
      <c r="K178" s="32"/>
      <c r="L178" s="32"/>
      <c r="M178" s="32"/>
      <c r="N178" s="32"/>
      <c r="O178" s="32"/>
      <c r="P178" s="32"/>
      <c r="Q178" s="32"/>
    </row>
    <row r="179" spans="1:17" hidden="1" x14ac:dyDescent="0.25">
      <c r="A179" s="32"/>
      <c r="B179" s="32"/>
      <c r="C179" s="32"/>
      <c r="D179" s="32"/>
      <c r="E179" s="32"/>
      <c r="F179" s="32"/>
      <c r="G179" s="32"/>
      <c r="H179" s="32"/>
      <c r="I179" s="32"/>
      <c r="J179" s="32"/>
      <c r="K179" s="32"/>
      <c r="L179" s="32"/>
      <c r="M179" s="32"/>
      <c r="N179" s="32"/>
      <c r="O179" s="32"/>
      <c r="P179" s="32"/>
      <c r="Q179" s="32"/>
    </row>
    <row r="180" spans="1:17" hidden="1" x14ac:dyDescent="0.25">
      <c r="A180" s="32"/>
      <c r="B180" s="32"/>
      <c r="C180" s="32"/>
      <c r="D180" s="32"/>
      <c r="E180" s="32"/>
      <c r="F180" s="32"/>
      <c r="G180" s="32"/>
      <c r="H180" s="32"/>
      <c r="I180" s="32"/>
      <c r="J180" s="32"/>
      <c r="K180" s="32"/>
      <c r="L180" s="32"/>
      <c r="M180" s="32"/>
      <c r="N180" s="32"/>
      <c r="O180" s="32"/>
      <c r="P180" s="32"/>
      <c r="Q180" s="32"/>
    </row>
    <row r="181" spans="1:17" hidden="1" x14ac:dyDescent="0.25">
      <c r="A181" s="32"/>
      <c r="B181" s="32"/>
      <c r="C181" s="32"/>
      <c r="D181" s="32"/>
      <c r="E181" s="32"/>
      <c r="F181" s="32"/>
      <c r="G181" s="32"/>
      <c r="H181" s="32"/>
      <c r="I181" s="32"/>
      <c r="J181" s="32"/>
      <c r="K181" s="32"/>
      <c r="L181" s="32"/>
      <c r="M181" s="32"/>
      <c r="N181" s="32"/>
      <c r="O181" s="32"/>
      <c r="P181" s="32"/>
      <c r="Q181" s="32"/>
    </row>
    <row r="182" spans="1:17" hidden="1" x14ac:dyDescent="0.25">
      <c r="A182" s="32"/>
      <c r="B182" s="32"/>
      <c r="C182" s="32"/>
      <c r="D182" s="32"/>
      <c r="E182" s="32"/>
      <c r="F182" s="32"/>
      <c r="G182" s="32"/>
      <c r="H182" s="32"/>
      <c r="I182" s="32"/>
      <c r="J182" s="32"/>
      <c r="K182" s="32"/>
      <c r="L182" s="32"/>
      <c r="M182" s="32"/>
      <c r="N182" s="32"/>
      <c r="O182" s="32"/>
      <c r="P182" s="32"/>
      <c r="Q182" s="32"/>
    </row>
    <row r="183" spans="1:17" hidden="1" x14ac:dyDescent="0.25">
      <c r="A183" s="32"/>
      <c r="B183" s="32"/>
      <c r="C183" s="32"/>
      <c r="D183" s="32"/>
      <c r="E183" s="32"/>
      <c r="F183" s="32"/>
      <c r="G183" s="32"/>
      <c r="H183" s="32"/>
      <c r="I183" s="32"/>
      <c r="J183" s="32"/>
      <c r="K183" s="32"/>
      <c r="L183" s="32"/>
      <c r="M183" s="32"/>
      <c r="N183" s="32"/>
      <c r="O183" s="32"/>
      <c r="P183" s="32"/>
      <c r="Q183" s="32"/>
    </row>
    <row r="184" spans="1:17" hidden="1" x14ac:dyDescent="0.25">
      <c r="A184" s="32"/>
      <c r="B184" s="32"/>
      <c r="C184" s="32"/>
      <c r="D184" s="32"/>
      <c r="E184" s="32"/>
      <c r="F184" s="32"/>
      <c r="G184" s="32"/>
      <c r="H184" s="32"/>
      <c r="I184" s="32"/>
      <c r="J184" s="32"/>
      <c r="K184" s="32"/>
      <c r="L184" s="32"/>
      <c r="M184" s="32"/>
      <c r="N184" s="32"/>
      <c r="O184" s="32"/>
      <c r="P184" s="32"/>
      <c r="Q184" s="32"/>
    </row>
    <row r="185" spans="1:17" hidden="1" x14ac:dyDescent="0.25">
      <c r="A185" s="32"/>
      <c r="B185" s="32"/>
      <c r="C185" s="32"/>
      <c r="D185" s="32"/>
      <c r="E185" s="32"/>
      <c r="F185" s="32"/>
      <c r="G185" s="32"/>
      <c r="H185" s="32"/>
      <c r="I185" s="32"/>
      <c r="J185" s="32"/>
      <c r="K185" s="32"/>
      <c r="L185" s="32"/>
      <c r="M185" s="32"/>
      <c r="N185" s="32"/>
      <c r="O185" s="32"/>
      <c r="P185" s="32"/>
      <c r="Q185" s="32"/>
    </row>
    <row r="186" spans="1:17" hidden="1" x14ac:dyDescent="0.25">
      <c r="A186" s="32"/>
      <c r="B186" s="32"/>
      <c r="C186" s="32"/>
      <c r="D186" s="32"/>
      <c r="E186" s="32"/>
      <c r="F186" s="32"/>
      <c r="G186" s="32"/>
      <c r="H186" s="32"/>
      <c r="I186" s="32"/>
      <c r="J186" s="32"/>
      <c r="K186" s="32"/>
      <c r="L186" s="32"/>
      <c r="M186" s="32"/>
      <c r="N186" s="32"/>
      <c r="O186" s="32"/>
      <c r="P186" s="32"/>
      <c r="Q186" s="32"/>
    </row>
    <row r="187" spans="1:17" hidden="1" x14ac:dyDescent="0.25">
      <c r="A187" s="32"/>
      <c r="B187" s="32"/>
      <c r="C187" s="32"/>
      <c r="D187" s="32"/>
      <c r="E187" s="32"/>
      <c r="F187" s="32"/>
      <c r="G187" s="32"/>
      <c r="H187" s="32"/>
      <c r="I187" s="32"/>
      <c r="J187" s="32"/>
      <c r="K187" s="32"/>
      <c r="L187" s="32"/>
      <c r="M187" s="32"/>
      <c r="N187" s="32"/>
      <c r="O187" s="32"/>
      <c r="P187" s="32"/>
      <c r="Q187" s="32"/>
    </row>
    <row r="188" spans="1:17" hidden="1" x14ac:dyDescent="0.25">
      <c r="A188" s="32"/>
      <c r="B188" s="32"/>
      <c r="C188" s="32"/>
      <c r="D188" s="32"/>
      <c r="E188" s="32"/>
      <c r="F188" s="32"/>
      <c r="G188" s="32"/>
      <c r="H188" s="32"/>
      <c r="I188" s="32"/>
      <c r="J188" s="32"/>
      <c r="K188" s="32"/>
      <c r="L188" s="32"/>
      <c r="M188" s="32"/>
      <c r="N188" s="32"/>
      <c r="O188" s="32"/>
      <c r="P188" s="32"/>
      <c r="Q188" s="32"/>
    </row>
    <row r="189" spans="1:17" hidden="1" x14ac:dyDescent="0.25">
      <c r="A189" s="32"/>
      <c r="B189" s="32"/>
      <c r="C189" s="32"/>
      <c r="D189" s="32"/>
      <c r="E189" s="32"/>
      <c r="F189" s="32"/>
      <c r="G189" s="32"/>
      <c r="H189" s="32"/>
      <c r="I189" s="32"/>
      <c r="J189" s="32"/>
      <c r="K189" s="32"/>
      <c r="L189" s="32"/>
      <c r="M189" s="32"/>
      <c r="N189" s="32"/>
      <c r="O189" s="32"/>
      <c r="P189" s="32"/>
      <c r="Q189" s="32"/>
    </row>
    <row r="190" spans="1:17" hidden="1" x14ac:dyDescent="0.25">
      <c r="A190" s="32"/>
      <c r="B190" s="32"/>
      <c r="C190" s="32"/>
      <c r="D190" s="32"/>
      <c r="E190" s="32"/>
      <c r="F190" s="32"/>
      <c r="G190" s="32"/>
      <c r="H190" s="32"/>
      <c r="I190" s="32"/>
      <c r="J190" s="32"/>
      <c r="K190" s="32"/>
      <c r="L190" s="32"/>
      <c r="M190" s="32"/>
      <c r="N190" s="32"/>
      <c r="O190" s="32"/>
      <c r="P190" s="32"/>
      <c r="Q190" s="32"/>
    </row>
    <row r="191" spans="1:17" hidden="1" x14ac:dyDescent="0.25">
      <c r="A191" s="32"/>
      <c r="B191" s="32"/>
      <c r="C191" s="32"/>
      <c r="D191" s="32"/>
      <c r="E191" s="32"/>
      <c r="F191" s="32"/>
      <c r="G191" s="32"/>
      <c r="H191" s="32"/>
      <c r="I191" s="32"/>
      <c r="J191" s="32"/>
      <c r="K191" s="32"/>
      <c r="L191" s="32"/>
      <c r="M191" s="32"/>
      <c r="N191" s="32"/>
      <c r="O191" s="32"/>
      <c r="P191" s="32"/>
      <c r="Q191" s="32"/>
    </row>
    <row r="192" spans="1:17" hidden="1" x14ac:dyDescent="0.25">
      <c r="A192" s="32"/>
      <c r="B192" s="32"/>
      <c r="C192" s="32"/>
      <c r="D192" s="32"/>
      <c r="E192" s="32"/>
      <c r="F192" s="32"/>
      <c r="G192" s="32"/>
      <c r="H192" s="32"/>
      <c r="I192" s="32"/>
      <c r="J192" s="32"/>
      <c r="K192" s="32"/>
      <c r="L192" s="32"/>
      <c r="M192" s="32"/>
      <c r="N192" s="32"/>
      <c r="O192" s="32"/>
      <c r="P192" s="32"/>
      <c r="Q192" s="32"/>
    </row>
    <row r="193" spans="1:17" hidden="1" x14ac:dyDescent="0.25">
      <c r="A193" s="32"/>
      <c r="B193" s="32"/>
      <c r="C193" s="32"/>
      <c r="D193" s="32"/>
      <c r="E193" s="32"/>
      <c r="F193" s="32"/>
      <c r="G193" s="32"/>
      <c r="H193" s="32"/>
      <c r="I193" s="32"/>
      <c r="J193" s="32"/>
      <c r="K193" s="32"/>
      <c r="L193" s="32"/>
      <c r="M193" s="32"/>
      <c r="N193" s="32"/>
      <c r="O193" s="32"/>
      <c r="P193" s="32"/>
      <c r="Q193" s="32"/>
    </row>
    <row r="194" spans="1:17" hidden="1" x14ac:dyDescent="0.25">
      <c r="A194" s="32"/>
      <c r="B194" s="32"/>
      <c r="C194" s="32"/>
      <c r="D194" s="32"/>
      <c r="E194" s="32"/>
      <c r="F194" s="32"/>
      <c r="G194" s="32"/>
      <c r="H194" s="32"/>
      <c r="I194" s="32"/>
      <c r="J194" s="32"/>
      <c r="K194" s="32"/>
      <c r="L194" s="32"/>
      <c r="M194" s="32"/>
      <c r="N194" s="32"/>
      <c r="O194" s="32"/>
      <c r="P194" s="32"/>
      <c r="Q194" s="32"/>
    </row>
    <row r="195" spans="1:17" hidden="1" x14ac:dyDescent="0.25">
      <c r="A195" s="32"/>
      <c r="B195" s="32"/>
      <c r="C195" s="32"/>
      <c r="D195" s="32"/>
      <c r="E195" s="32"/>
      <c r="F195" s="32"/>
      <c r="G195" s="32"/>
      <c r="H195" s="32"/>
      <c r="I195" s="32"/>
      <c r="J195" s="32"/>
      <c r="K195" s="32"/>
      <c r="L195" s="32"/>
      <c r="M195" s="32"/>
      <c r="N195" s="32"/>
      <c r="O195" s="32"/>
      <c r="P195" s="32"/>
      <c r="Q195" s="32"/>
    </row>
    <row r="196" spans="1:17" hidden="1" x14ac:dyDescent="0.25">
      <c r="A196" s="32"/>
      <c r="B196" s="32"/>
      <c r="C196" s="32"/>
      <c r="D196" s="32"/>
      <c r="E196" s="32"/>
      <c r="F196" s="32"/>
      <c r="G196" s="32"/>
      <c r="H196" s="32"/>
      <c r="I196" s="32"/>
      <c r="J196" s="32"/>
      <c r="K196" s="32"/>
      <c r="L196" s="32"/>
      <c r="M196" s="32"/>
      <c r="N196" s="32"/>
      <c r="O196" s="32"/>
      <c r="P196" s="32"/>
      <c r="Q196" s="32"/>
    </row>
    <row r="197" spans="1:17" hidden="1" x14ac:dyDescent="0.25">
      <c r="A197" s="32"/>
      <c r="B197" s="32"/>
      <c r="C197" s="32"/>
      <c r="D197" s="32"/>
      <c r="E197" s="32"/>
      <c r="F197" s="32"/>
      <c r="G197" s="32"/>
      <c r="H197" s="32"/>
      <c r="I197" s="32"/>
      <c r="J197" s="32"/>
      <c r="K197" s="32"/>
      <c r="L197" s="32"/>
      <c r="M197" s="32"/>
      <c r="N197" s="32"/>
      <c r="O197" s="32"/>
      <c r="P197" s="32"/>
      <c r="Q197" s="32"/>
    </row>
    <row r="198" spans="1:17" hidden="1" x14ac:dyDescent="0.25">
      <c r="A198" s="32"/>
      <c r="B198" s="32"/>
      <c r="C198" s="32"/>
      <c r="D198" s="32"/>
      <c r="E198" s="32"/>
      <c r="F198" s="32"/>
      <c r="G198" s="32"/>
      <c r="H198" s="32"/>
      <c r="I198" s="32"/>
      <c r="J198" s="32"/>
      <c r="K198" s="32"/>
      <c r="L198" s="32"/>
      <c r="M198" s="32"/>
      <c r="N198" s="32"/>
      <c r="O198" s="32"/>
      <c r="P198" s="32"/>
      <c r="Q198" s="32"/>
    </row>
    <row r="199" spans="1:17" hidden="1" x14ac:dyDescent="0.25">
      <c r="A199" s="32"/>
      <c r="B199" s="32"/>
      <c r="C199" s="32"/>
      <c r="D199" s="32"/>
      <c r="E199" s="32"/>
      <c r="F199" s="32"/>
      <c r="G199" s="32"/>
      <c r="H199" s="32"/>
      <c r="I199" s="32"/>
      <c r="J199" s="32"/>
      <c r="K199" s="32"/>
      <c r="L199" s="32"/>
      <c r="M199" s="32"/>
      <c r="N199" s="32"/>
      <c r="O199" s="32"/>
      <c r="P199" s="32"/>
      <c r="Q199" s="32"/>
    </row>
    <row r="200" spans="1:17" hidden="1" x14ac:dyDescent="0.25">
      <c r="A200" s="32"/>
      <c r="B200" s="32"/>
      <c r="C200" s="32"/>
      <c r="D200" s="32"/>
      <c r="E200" s="32"/>
      <c r="F200" s="32"/>
      <c r="G200" s="32"/>
      <c r="H200" s="32"/>
      <c r="I200" s="32"/>
      <c r="J200" s="32"/>
      <c r="K200" s="32"/>
      <c r="L200" s="32"/>
      <c r="M200" s="32"/>
      <c r="N200" s="32"/>
      <c r="O200" s="32"/>
      <c r="P200" s="32"/>
      <c r="Q200" s="32"/>
    </row>
    <row r="201" spans="1:17" hidden="1" x14ac:dyDescent="0.25">
      <c r="A201" s="32"/>
      <c r="B201" s="32"/>
      <c r="C201" s="32"/>
      <c r="D201" s="32"/>
      <c r="E201" s="32"/>
      <c r="F201" s="32"/>
      <c r="G201" s="32"/>
      <c r="H201" s="32"/>
      <c r="I201" s="32"/>
      <c r="J201" s="32"/>
      <c r="K201" s="32"/>
      <c r="L201" s="32"/>
      <c r="M201" s="32"/>
      <c r="N201" s="32"/>
      <c r="O201" s="32"/>
      <c r="P201" s="32"/>
      <c r="Q201" s="32"/>
    </row>
    <row r="202" spans="1:17" hidden="1" x14ac:dyDescent="0.25">
      <c r="A202" s="32"/>
      <c r="B202" s="32"/>
      <c r="C202" s="32"/>
      <c r="D202" s="32"/>
      <c r="E202" s="32"/>
      <c r="F202" s="32"/>
      <c r="G202" s="32"/>
      <c r="H202" s="32"/>
      <c r="I202" s="32"/>
      <c r="J202" s="32"/>
      <c r="K202" s="32"/>
      <c r="L202" s="32"/>
      <c r="M202" s="32"/>
      <c r="N202" s="32"/>
      <c r="O202" s="32"/>
      <c r="P202" s="32"/>
      <c r="Q202" s="32"/>
    </row>
    <row r="203" spans="1:17" hidden="1" x14ac:dyDescent="0.25">
      <c r="A203" s="32"/>
      <c r="B203" s="32"/>
      <c r="C203" s="32"/>
      <c r="D203" s="32"/>
      <c r="E203" s="32"/>
      <c r="F203" s="32"/>
      <c r="G203" s="32"/>
      <c r="H203" s="32"/>
      <c r="I203" s="32"/>
      <c r="J203" s="32"/>
      <c r="K203" s="32"/>
      <c r="L203" s="32"/>
      <c r="M203" s="32"/>
      <c r="N203" s="32"/>
      <c r="O203" s="32"/>
      <c r="P203" s="32"/>
      <c r="Q203" s="32"/>
    </row>
    <row r="204" spans="1:17" hidden="1" x14ac:dyDescent="0.25">
      <c r="A204" s="32"/>
      <c r="B204" s="32"/>
      <c r="C204" s="32"/>
      <c r="D204" s="32"/>
      <c r="E204" s="32"/>
      <c r="F204" s="32"/>
      <c r="G204" s="32"/>
      <c r="H204" s="32"/>
      <c r="I204" s="32"/>
      <c r="J204" s="32"/>
      <c r="K204" s="32"/>
      <c r="L204" s="32"/>
      <c r="M204" s="32"/>
      <c r="N204" s="32"/>
      <c r="O204" s="32"/>
      <c r="P204" s="32"/>
      <c r="Q204" s="32"/>
    </row>
    <row r="205" spans="1:17" hidden="1" x14ac:dyDescent="0.25">
      <c r="A205" s="32"/>
      <c r="B205" s="32"/>
      <c r="C205" s="32"/>
      <c r="D205" s="32"/>
      <c r="E205" s="32"/>
      <c r="F205" s="32"/>
      <c r="G205" s="32"/>
      <c r="H205" s="32"/>
      <c r="I205" s="32"/>
      <c r="J205" s="32"/>
      <c r="K205" s="32"/>
      <c r="L205" s="32"/>
      <c r="M205" s="32"/>
      <c r="N205" s="32"/>
      <c r="O205" s="32"/>
      <c r="P205" s="32"/>
      <c r="Q205" s="32"/>
    </row>
    <row r="206" spans="1:17" hidden="1" x14ac:dyDescent="0.25">
      <c r="A206" s="32"/>
      <c r="B206" s="32"/>
      <c r="C206" s="32"/>
      <c r="D206" s="32"/>
      <c r="E206" s="32"/>
      <c r="F206" s="32"/>
      <c r="G206" s="32"/>
      <c r="H206" s="32"/>
      <c r="I206" s="32"/>
      <c r="J206" s="32"/>
      <c r="K206" s="32"/>
      <c r="L206" s="32"/>
      <c r="M206" s="32"/>
      <c r="N206" s="32"/>
      <c r="O206" s="32"/>
      <c r="P206" s="32"/>
      <c r="Q206" s="32"/>
    </row>
    <row r="207" spans="1:17" hidden="1" x14ac:dyDescent="0.25">
      <c r="A207" s="32"/>
      <c r="B207" s="32"/>
      <c r="C207" s="32"/>
      <c r="D207" s="32"/>
      <c r="E207" s="32"/>
      <c r="F207" s="32"/>
      <c r="G207" s="32"/>
      <c r="H207" s="32"/>
      <c r="I207" s="32"/>
      <c r="J207" s="32"/>
      <c r="K207" s="32"/>
      <c r="L207" s="32"/>
      <c r="M207" s="32"/>
      <c r="N207" s="32"/>
      <c r="O207" s="32"/>
      <c r="P207" s="32"/>
      <c r="Q207" s="32"/>
    </row>
    <row r="208" spans="1:17" hidden="1" x14ac:dyDescent="0.25">
      <c r="A208" s="32"/>
      <c r="B208" s="32"/>
      <c r="C208" s="32"/>
      <c r="D208" s="32"/>
      <c r="E208" s="32"/>
      <c r="F208" s="32"/>
      <c r="G208" s="32"/>
      <c r="H208" s="32"/>
      <c r="I208" s="32"/>
      <c r="J208" s="32"/>
      <c r="K208" s="32"/>
      <c r="L208" s="32"/>
      <c r="M208" s="32"/>
      <c r="N208" s="32"/>
      <c r="O208" s="32"/>
      <c r="P208" s="32"/>
      <c r="Q208" s="32"/>
    </row>
    <row r="209" spans="1:17" hidden="1" x14ac:dyDescent="0.25">
      <c r="A209" s="32"/>
      <c r="B209" s="32"/>
      <c r="C209" s="32"/>
      <c r="D209" s="32"/>
      <c r="E209" s="32"/>
      <c r="F209" s="32"/>
      <c r="G209" s="32"/>
      <c r="H209" s="32"/>
      <c r="I209" s="32"/>
      <c r="J209" s="32"/>
      <c r="K209" s="32"/>
      <c r="L209" s="32"/>
      <c r="M209" s="32"/>
      <c r="N209" s="32"/>
      <c r="O209" s="32"/>
      <c r="P209" s="32"/>
      <c r="Q209" s="32"/>
    </row>
    <row r="210" spans="1:17" hidden="1" x14ac:dyDescent="0.25">
      <c r="A210" s="32"/>
      <c r="B210" s="32"/>
      <c r="C210" s="32"/>
      <c r="D210" s="32"/>
      <c r="E210" s="32"/>
      <c r="F210" s="32"/>
      <c r="G210" s="32"/>
      <c r="H210" s="32"/>
      <c r="I210" s="32"/>
      <c r="J210" s="32"/>
      <c r="K210" s="32"/>
      <c r="L210" s="32"/>
      <c r="M210" s="32"/>
      <c r="N210" s="32"/>
      <c r="O210" s="32"/>
      <c r="P210" s="32"/>
      <c r="Q210" s="32"/>
    </row>
    <row r="211" spans="1:17" hidden="1" x14ac:dyDescent="0.25">
      <c r="A211" s="32"/>
      <c r="B211" s="32"/>
      <c r="C211" s="32"/>
      <c r="D211" s="32"/>
      <c r="E211" s="32"/>
      <c r="F211" s="32"/>
      <c r="G211" s="32"/>
      <c r="H211" s="32"/>
      <c r="I211" s="32"/>
      <c r="J211" s="32"/>
      <c r="K211" s="32"/>
      <c r="L211" s="32"/>
      <c r="M211" s="32"/>
      <c r="N211" s="32"/>
      <c r="O211" s="32"/>
      <c r="P211" s="32"/>
      <c r="Q211" s="32"/>
    </row>
    <row r="212" spans="1:17" hidden="1" x14ac:dyDescent="0.25">
      <c r="A212" s="32"/>
      <c r="B212" s="32"/>
      <c r="C212" s="32"/>
      <c r="D212" s="32"/>
      <c r="E212" s="32"/>
      <c r="F212" s="32"/>
      <c r="G212" s="32"/>
      <c r="H212" s="32"/>
      <c r="I212" s="32"/>
      <c r="J212" s="32"/>
      <c r="K212" s="32"/>
      <c r="L212" s="32"/>
      <c r="M212" s="32"/>
      <c r="N212" s="32"/>
      <c r="O212" s="32"/>
      <c r="P212" s="32"/>
      <c r="Q212" s="32"/>
    </row>
    <row r="213" spans="1:17" hidden="1" x14ac:dyDescent="0.25">
      <c r="A213" s="32"/>
      <c r="B213" s="32"/>
      <c r="C213" s="32"/>
      <c r="D213" s="32"/>
      <c r="E213" s="32"/>
      <c r="F213" s="32"/>
      <c r="G213" s="32"/>
      <c r="H213" s="32"/>
      <c r="I213" s="32"/>
      <c r="J213" s="32"/>
      <c r="K213" s="32"/>
      <c r="L213" s="32"/>
      <c r="M213" s="32"/>
      <c r="N213" s="32"/>
      <c r="O213" s="32"/>
      <c r="P213" s="32"/>
      <c r="Q213" s="32"/>
    </row>
    <row r="214" spans="1:17" hidden="1" x14ac:dyDescent="0.25">
      <c r="A214" s="32"/>
      <c r="B214" s="32"/>
      <c r="C214" s="32"/>
      <c r="D214" s="32"/>
      <c r="E214" s="32"/>
      <c r="F214" s="32"/>
      <c r="G214" s="32"/>
      <c r="H214" s="32"/>
      <c r="I214" s="32"/>
      <c r="J214" s="32"/>
      <c r="K214" s="32"/>
      <c r="L214" s="32"/>
      <c r="M214" s="32"/>
      <c r="N214" s="32"/>
      <c r="O214" s="32"/>
      <c r="P214" s="32"/>
      <c r="Q214" s="32"/>
    </row>
    <row r="215" spans="1:17" hidden="1" x14ac:dyDescent="0.25">
      <c r="A215" s="32"/>
      <c r="B215" s="32"/>
      <c r="C215" s="32"/>
      <c r="D215" s="32"/>
      <c r="E215" s="32"/>
      <c r="F215" s="32"/>
      <c r="G215" s="32"/>
      <c r="H215" s="32"/>
      <c r="I215" s="32"/>
      <c r="J215" s="32"/>
      <c r="K215" s="32"/>
      <c r="L215" s="32"/>
      <c r="M215" s="32"/>
      <c r="N215" s="32"/>
      <c r="O215" s="32"/>
      <c r="P215" s="32"/>
      <c r="Q215" s="32"/>
    </row>
    <row r="216" spans="1:17" hidden="1" x14ac:dyDescent="0.25">
      <c r="A216" s="32"/>
      <c r="B216" s="32"/>
      <c r="C216" s="32"/>
      <c r="D216" s="32"/>
      <c r="E216" s="32"/>
      <c r="F216" s="32"/>
      <c r="G216" s="32"/>
      <c r="H216" s="32"/>
      <c r="I216" s="32"/>
      <c r="J216" s="32"/>
      <c r="K216" s="32"/>
      <c r="L216" s="32"/>
      <c r="M216" s="32"/>
      <c r="N216" s="32"/>
      <c r="O216" s="32"/>
      <c r="P216" s="32"/>
      <c r="Q216" s="32"/>
    </row>
    <row r="217" spans="1:17" hidden="1" x14ac:dyDescent="0.25">
      <c r="A217" s="32"/>
      <c r="B217" s="32"/>
      <c r="C217" s="32"/>
      <c r="D217" s="32"/>
      <c r="E217" s="32"/>
      <c r="F217" s="32"/>
      <c r="G217" s="32"/>
      <c r="H217" s="32"/>
      <c r="I217" s="32"/>
      <c r="J217" s="32"/>
      <c r="K217" s="32"/>
      <c r="L217" s="32"/>
      <c r="M217" s="32"/>
      <c r="N217" s="32"/>
      <c r="O217" s="32"/>
      <c r="P217" s="32"/>
      <c r="Q217" s="32"/>
    </row>
    <row r="218" spans="1:17" hidden="1" x14ac:dyDescent="0.25">
      <c r="A218" s="32"/>
      <c r="B218" s="32"/>
      <c r="C218" s="32"/>
      <c r="D218" s="32"/>
      <c r="E218" s="32"/>
      <c r="F218" s="32"/>
      <c r="G218" s="32"/>
      <c r="H218" s="32"/>
      <c r="I218" s="32"/>
      <c r="J218" s="32"/>
      <c r="K218" s="32"/>
      <c r="L218" s="32"/>
      <c r="M218" s="32"/>
      <c r="N218" s="32"/>
      <c r="O218" s="32"/>
      <c r="P218" s="32"/>
      <c r="Q218" s="32"/>
    </row>
    <row r="219" spans="1:17" hidden="1" x14ac:dyDescent="0.25">
      <c r="A219" s="32"/>
      <c r="B219" s="32"/>
      <c r="C219" s="32"/>
      <c r="D219" s="32"/>
      <c r="E219" s="32"/>
      <c r="F219" s="32"/>
      <c r="G219" s="32"/>
      <c r="H219" s="32"/>
      <c r="I219" s="32"/>
      <c r="J219" s="32"/>
      <c r="K219" s="32"/>
      <c r="L219" s="32"/>
      <c r="M219" s="32"/>
      <c r="N219" s="32"/>
      <c r="O219" s="32"/>
      <c r="P219" s="32"/>
      <c r="Q219" s="32"/>
    </row>
    <row r="220" spans="1:17" hidden="1" x14ac:dyDescent="0.25">
      <c r="A220" s="32"/>
      <c r="B220" s="32"/>
      <c r="C220" s="32"/>
      <c r="D220" s="32"/>
      <c r="E220" s="32"/>
      <c r="F220" s="32"/>
      <c r="G220" s="32"/>
      <c r="H220" s="32"/>
      <c r="I220" s="32"/>
      <c r="J220" s="32"/>
      <c r="K220" s="32"/>
      <c r="L220" s="32"/>
      <c r="M220" s="32"/>
      <c r="N220" s="32"/>
      <c r="O220" s="32"/>
      <c r="P220" s="32"/>
      <c r="Q220" s="32"/>
    </row>
    <row r="221" spans="1:17" hidden="1" x14ac:dyDescent="0.25">
      <c r="A221" s="32"/>
      <c r="B221" s="32"/>
      <c r="C221" s="32"/>
      <c r="D221" s="32"/>
      <c r="E221" s="32"/>
      <c r="F221" s="32"/>
      <c r="G221" s="32"/>
      <c r="H221" s="32"/>
      <c r="I221" s="32"/>
      <c r="J221" s="32"/>
      <c r="K221" s="32"/>
      <c r="L221" s="32"/>
      <c r="M221" s="32"/>
      <c r="N221" s="32"/>
      <c r="O221" s="32"/>
      <c r="P221" s="32"/>
      <c r="Q221" s="32"/>
    </row>
    <row r="222" spans="1:17" hidden="1" x14ac:dyDescent="0.25">
      <c r="A222" s="32"/>
      <c r="B222" s="32"/>
      <c r="C222" s="32"/>
      <c r="D222" s="32"/>
      <c r="E222" s="32"/>
      <c r="F222" s="32"/>
      <c r="G222" s="32"/>
      <c r="H222" s="32"/>
      <c r="I222" s="32"/>
      <c r="J222" s="32"/>
      <c r="K222" s="32"/>
      <c r="L222" s="32"/>
      <c r="M222" s="32"/>
      <c r="N222" s="32"/>
      <c r="O222" s="32"/>
      <c r="P222" s="32"/>
      <c r="Q222" s="32"/>
    </row>
    <row r="223" spans="1:17" hidden="1" x14ac:dyDescent="0.25">
      <c r="A223" s="32"/>
      <c r="B223" s="32"/>
      <c r="C223" s="32"/>
      <c r="D223" s="32"/>
      <c r="E223" s="32"/>
      <c r="F223" s="32"/>
      <c r="G223" s="32"/>
      <c r="H223" s="32"/>
      <c r="I223" s="32"/>
      <c r="J223" s="32"/>
      <c r="K223" s="32"/>
      <c r="L223" s="32"/>
      <c r="M223" s="32"/>
      <c r="N223" s="32"/>
      <c r="O223" s="32"/>
      <c r="P223" s="32"/>
      <c r="Q223" s="32"/>
    </row>
    <row r="224" spans="1:17" hidden="1" x14ac:dyDescent="0.25">
      <c r="A224" s="32"/>
      <c r="B224" s="32"/>
      <c r="C224" s="32"/>
      <c r="D224" s="32"/>
      <c r="E224" s="32"/>
      <c r="F224" s="32"/>
      <c r="G224" s="32"/>
      <c r="H224" s="32"/>
      <c r="I224" s="32"/>
      <c r="J224" s="32"/>
      <c r="K224" s="32"/>
      <c r="L224" s="32"/>
      <c r="M224" s="32"/>
      <c r="N224" s="32"/>
      <c r="O224" s="32"/>
      <c r="P224" s="32"/>
      <c r="Q224" s="32"/>
    </row>
    <row r="225" spans="1:17" hidden="1" x14ac:dyDescent="0.25">
      <c r="A225" s="32"/>
      <c r="B225" s="32"/>
      <c r="C225" s="32"/>
      <c r="D225" s="32"/>
      <c r="E225" s="32"/>
      <c r="F225" s="32"/>
      <c r="G225" s="32"/>
      <c r="H225" s="32"/>
      <c r="I225" s="32"/>
      <c r="J225" s="32"/>
      <c r="K225" s="32"/>
      <c r="L225" s="32"/>
      <c r="M225" s="32"/>
      <c r="N225" s="32"/>
      <c r="O225" s="32"/>
      <c r="P225" s="32"/>
      <c r="Q225" s="32"/>
    </row>
    <row r="226" spans="1:17" hidden="1" x14ac:dyDescent="0.25">
      <c r="A226" s="32"/>
      <c r="B226" s="32"/>
      <c r="C226" s="32"/>
      <c r="D226" s="32"/>
      <c r="E226" s="32"/>
      <c r="F226" s="32"/>
      <c r="H226" s="32"/>
      <c r="I226" s="32"/>
      <c r="J226" s="32"/>
      <c r="K226" s="32"/>
      <c r="L226" s="32"/>
      <c r="M226" s="32"/>
      <c r="N226" s="32"/>
      <c r="O226" s="32"/>
      <c r="P226" s="32"/>
      <c r="Q226" s="32"/>
    </row>
    <row r="227" spans="1:17" hidden="1" x14ac:dyDescent="0.25">
      <c r="A227" s="32"/>
      <c r="B227" s="32"/>
      <c r="C227" s="32"/>
      <c r="D227" s="32"/>
      <c r="E227" s="32"/>
      <c r="F227" s="32"/>
      <c r="H227" s="32"/>
      <c r="I227" s="32"/>
      <c r="J227" s="32"/>
      <c r="K227" s="32"/>
      <c r="L227" s="32"/>
      <c r="M227" s="32"/>
      <c r="N227" s="32"/>
      <c r="O227" s="32"/>
      <c r="P227" s="32"/>
      <c r="Q227" s="32"/>
    </row>
    <row r="228" spans="1:17" hidden="1" x14ac:dyDescent="0.25">
      <c r="A228" s="32"/>
      <c r="B228" s="32"/>
      <c r="C228" s="32"/>
      <c r="D228" s="32"/>
      <c r="E228" s="32"/>
      <c r="F228" s="32"/>
      <c r="H228" s="32"/>
      <c r="I228" s="32"/>
      <c r="J228" s="32"/>
      <c r="K228" s="32"/>
      <c r="L228" s="32"/>
      <c r="M228" s="32"/>
      <c r="N228" s="32"/>
      <c r="O228" s="32"/>
      <c r="P228" s="32"/>
      <c r="Q228" s="32"/>
    </row>
    <row r="229" spans="1:17" hidden="1" x14ac:dyDescent="0.25">
      <c r="A229" s="32"/>
      <c r="B229" s="32"/>
      <c r="C229" s="32"/>
      <c r="D229" s="32"/>
      <c r="E229" s="32"/>
      <c r="F229" s="32"/>
      <c r="H229" s="32"/>
      <c r="I229" s="32"/>
      <c r="J229" s="32"/>
      <c r="K229" s="32"/>
      <c r="L229" s="32"/>
      <c r="M229" s="32"/>
      <c r="N229" s="32"/>
      <c r="O229" s="32"/>
      <c r="P229" s="32"/>
      <c r="Q229" s="32"/>
    </row>
    <row r="230" spans="1:17" hidden="1" x14ac:dyDescent="0.25">
      <c r="A230" s="32"/>
      <c r="B230" s="32"/>
      <c r="C230" s="32"/>
      <c r="D230" s="32"/>
      <c r="E230" s="32"/>
      <c r="F230" s="32"/>
      <c r="H230" s="32"/>
      <c r="I230" s="32"/>
      <c r="J230" s="32"/>
      <c r="K230" s="32"/>
      <c r="L230" s="32"/>
      <c r="M230" s="32"/>
      <c r="N230" s="32"/>
      <c r="O230" s="32"/>
      <c r="P230" s="32"/>
      <c r="Q230" s="32"/>
    </row>
    <row r="231" spans="1:17" hidden="1" x14ac:dyDescent="0.25">
      <c r="A231" s="32"/>
      <c r="B231" s="32"/>
      <c r="C231" s="32"/>
      <c r="D231" s="32"/>
      <c r="E231" s="32"/>
      <c r="F231" s="32"/>
      <c r="H231" s="32"/>
      <c r="I231" s="32"/>
      <c r="J231" s="32"/>
      <c r="K231" s="32"/>
      <c r="L231" s="32"/>
      <c r="M231" s="32"/>
      <c r="N231" s="32"/>
      <c r="O231" s="32"/>
      <c r="P231" s="32"/>
      <c r="Q231" s="32"/>
    </row>
    <row r="232" spans="1:17" hidden="1" x14ac:dyDescent="0.25">
      <c r="A232" s="32"/>
      <c r="B232" s="32"/>
      <c r="C232" s="32"/>
      <c r="D232" s="32"/>
      <c r="E232" s="32"/>
      <c r="F232" s="32"/>
      <c r="H232" s="32"/>
      <c r="I232" s="32"/>
      <c r="J232" s="32"/>
      <c r="K232" s="32"/>
      <c r="L232" s="32"/>
      <c r="M232" s="32"/>
      <c r="N232" s="32"/>
      <c r="O232" s="32"/>
      <c r="P232" s="32"/>
      <c r="Q232" s="32"/>
    </row>
    <row r="233" spans="1:17" hidden="1" x14ac:dyDescent="0.25">
      <c r="A233" s="32"/>
      <c r="B233" s="32"/>
      <c r="C233" s="32"/>
      <c r="D233" s="32"/>
      <c r="E233" s="32"/>
      <c r="F233" s="32"/>
      <c r="H233" s="32"/>
      <c r="I233" s="32"/>
      <c r="J233" s="32"/>
      <c r="K233" s="32"/>
      <c r="L233" s="32"/>
      <c r="M233" s="32"/>
      <c r="N233" s="32"/>
      <c r="O233" s="32"/>
      <c r="P233" s="32"/>
      <c r="Q233" s="32"/>
    </row>
    <row r="234" spans="1:17" hidden="1" x14ac:dyDescent="0.25">
      <c r="A234" s="32"/>
      <c r="B234" s="32"/>
      <c r="C234" s="32"/>
      <c r="D234" s="32"/>
      <c r="E234" s="32"/>
      <c r="F234" s="32"/>
      <c r="H234" s="32"/>
      <c r="I234" s="32"/>
      <c r="J234" s="32"/>
      <c r="K234" s="32"/>
      <c r="L234" s="32"/>
      <c r="M234" s="32"/>
      <c r="N234" s="32"/>
      <c r="O234" s="32"/>
      <c r="P234" s="32"/>
      <c r="Q234" s="32"/>
    </row>
    <row r="235" spans="1:17" hidden="1" x14ac:dyDescent="0.25">
      <c r="A235" s="32"/>
      <c r="B235" s="32"/>
      <c r="C235" s="32"/>
      <c r="D235" s="32"/>
      <c r="E235" s="32"/>
      <c r="F235" s="32"/>
      <c r="H235" s="32"/>
      <c r="I235" s="32"/>
      <c r="J235" s="32"/>
      <c r="K235" s="32"/>
      <c r="L235" s="32"/>
      <c r="M235" s="32"/>
      <c r="N235" s="32"/>
      <c r="O235" s="32"/>
      <c r="P235" s="32"/>
      <c r="Q235" s="32"/>
    </row>
    <row r="236" spans="1:17" hidden="1" x14ac:dyDescent="0.25">
      <c r="A236" s="32"/>
      <c r="B236" s="32"/>
      <c r="C236" s="32"/>
      <c r="D236" s="32"/>
      <c r="E236" s="32"/>
      <c r="F236" s="32"/>
      <c r="H236" s="32"/>
      <c r="I236" s="32"/>
      <c r="J236" s="32"/>
      <c r="K236" s="32"/>
      <c r="L236" s="32"/>
      <c r="M236" s="32"/>
      <c r="N236" s="32"/>
      <c r="O236" s="32"/>
      <c r="P236" s="32"/>
      <c r="Q236" s="32"/>
    </row>
    <row r="237" spans="1:17" hidden="1" x14ac:dyDescent="0.25">
      <c r="A237" s="32"/>
      <c r="B237" s="32"/>
      <c r="C237" s="32"/>
      <c r="D237" s="32"/>
      <c r="E237" s="32"/>
      <c r="F237" s="32"/>
      <c r="H237" s="32"/>
      <c r="I237" s="32"/>
      <c r="J237" s="32"/>
      <c r="K237" s="32"/>
      <c r="L237" s="32"/>
      <c r="M237" s="32"/>
      <c r="N237" s="32"/>
      <c r="O237" s="32"/>
      <c r="P237" s="32"/>
      <c r="Q237" s="32"/>
    </row>
    <row r="238" spans="1:17" hidden="1" x14ac:dyDescent="0.25">
      <c r="A238" s="32"/>
      <c r="B238" s="32"/>
      <c r="C238" s="32"/>
      <c r="D238" s="32"/>
      <c r="E238" s="32"/>
      <c r="F238" s="32"/>
      <c r="H238" s="32"/>
      <c r="I238" s="32"/>
      <c r="J238" s="32"/>
      <c r="K238" s="32"/>
      <c r="L238" s="32"/>
      <c r="M238" s="32"/>
      <c r="N238" s="32"/>
      <c r="O238" s="32"/>
      <c r="P238" s="32"/>
      <c r="Q238" s="32"/>
    </row>
    <row r="239" spans="1:17" hidden="1" x14ac:dyDescent="0.25">
      <c r="A239" s="32"/>
      <c r="B239" s="32"/>
      <c r="C239" s="32"/>
      <c r="D239" s="32"/>
      <c r="E239" s="32"/>
      <c r="F239" s="32"/>
      <c r="H239" s="32"/>
      <c r="I239" s="32"/>
      <c r="J239" s="32"/>
      <c r="K239" s="32"/>
      <c r="L239" s="32"/>
      <c r="M239" s="32"/>
      <c r="N239" s="32"/>
      <c r="O239" s="32"/>
      <c r="P239" s="32"/>
      <c r="Q239" s="32"/>
    </row>
    <row r="240" spans="1:17" hidden="1" x14ac:dyDescent="0.25">
      <c r="A240" s="32"/>
      <c r="B240" s="32"/>
      <c r="C240" s="32"/>
      <c r="D240" s="32"/>
      <c r="E240" s="32"/>
      <c r="F240" s="32"/>
      <c r="H240" s="32"/>
      <c r="I240" s="32"/>
      <c r="J240" s="32"/>
      <c r="K240" s="32"/>
      <c r="L240" s="32"/>
      <c r="M240" s="32"/>
      <c r="N240" s="32"/>
      <c r="O240" s="32"/>
      <c r="P240" s="32"/>
      <c r="Q240" s="32"/>
    </row>
    <row r="241" spans="1:17" hidden="1" x14ac:dyDescent="0.25">
      <c r="A241" s="32"/>
      <c r="B241" s="32"/>
      <c r="C241" s="32"/>
      <c r="D241" s="32"/>
      <c r="E241" s="32"/>
      <c r="F241" s="32"/>
      <c r="H241" s="32"/>
      <c r="I241" s="32"/>
      <c r="J241" s="32"/>
      <c r="K241" s="32"/>
      <c r="L241" s="32"/>
      <c r="M241" s="32"/>
      <c r="N241" s="32"/>
      <c r="O241" s="32"/>
      <c r="P241" s="32"/>
      <c r="Q241" s="32"/>
    </row>
    <row r="242" spans="1:17" hidden="1" x14ac:dyDescent="0.25">
      <c r="A242" s="32"/>
      <c r="B242" s="32"/>
      <c r="C242" s="32"/>
      <c r="D242" s="32"/>
      <c r="E242" s="32"/>
      <c r="F242" s="32"/>
      <c r="H242" s="32"/>
      <c r="I242" s="32"/>
      <c r="J242" s="32"/>
      <c r="K242" s="32"/>
      <c r="L242" s="32"/>
      <c r="M242" s="32"/>
      <c r="N242" s="32"/>
      <c r="O242" s="32"/>
      <c r="P242" s="32"/>
      <c r="Q242" s="32"/>
    </row>
    <row r="243" spans="1:17" hidden="1" x14ac:dyDescent="0.25">
      <c r="A243" s="32"/>
      <c r="B243" s="32"/>
      <c r="C243" s="32"/>
      <c r="D243" s="32"/>
      <c r="E243" s="32"/>
      <c r="F243" s="32"/>
      <c r="H243" s="32"/>
      <c r="I243" s="32"/>
      <c r="J243" s="32"/>
      <c r="K243" s="32"/>
      <c r="L243" s="32"/>
      <c r="M243" s="32"/>
      <c r="N243" s="32"/>
      <c r="O243" s="32"/>
      <c r="P243" s="32"/>
      <c r="Q243" s="32"/>
    </row>
    <row r="244" spans="1:17" hidden="1" x14ac:dyDescent="0.25">
      <c r="A244" s="32"/>
      <c r="B244" s="32"/>
      <c r="C244" s="32"/>
      <c r="D244" s="32"/>
      <c r="E244" s="32"/>
      <c r="F244" s="32"/>
      <c r="H244" s="32"/>
      <c r="I244" s="32"/>
      <c r="J244" s="32"/>
      <c r="K244" s="32"/>
      <c r="L244" s="32"/>
      <c r="M244" s="32"/>
      <c r="N244" s="32"/>
      <c r="O244" s="32"/>
      <c r="P244" s="32"/>
      <c r="Q244" s="32"/>
    </row>
    <row r="245" spans="1:17" hidden="1" x14ac:dyDescent="0.25">
      <c r="A245" s="32"/>
      <c r="B245" s="32"/>
      <c r="C245" s="32"/>
      <c r="D245" s="32"/>
      <c r="E245" s="32"/>
      <c r="F245" s="32"/>
      <c r="H245" s="32"/>
      <c r="I245" s="32"/>
      <c r="J245" s="32"/>
      <c r="K245" s="32"/>
      <c r="L245" s="32"/>
      <c r="M245" s="32"/>
      <c r="N245" s="32"/>
      <c r="O245" s="32"/>
      <c r="P245" s="32"/>
      <c r="Q245" s="32"/>
    </row>
    <row r="246" spans="1:17" hidden="1" x14ac:dyDescent="0.25">
      <c r="A246" s="32"/>
      <c r="B246" s="32"/>
      <c r="C246" s="32"/>
      <c r="D246" s="32"/>
      <c r="E246" s="32"/>
      <c r="F246" s="32"/>
      <c r="H246" s="32"/>
      <c r="I246" s="32"/>
      <c r="J246" s="32"/>
      <c r="K246" s="32"/>
      <c r="L246" s="32"/>
      <c r="M246" s="32"/>
      <c r="N246" s="32"/>
      <c r="O246" s="32"/>
      <c r="P246" s="32"/>
      <c r="Q246" s="32"/>
    </row>
    <row r="247" spans="1:17" hidden="1" x14ac:dyDescent="0.25">
      <c r="A247" s="32"/>
      <c r="B247" s="32"/>
      <c r="C247" s="32"/>
      <c r="D247" s="32"/>
      <c r="E247" s="32"/>
      <c r="F247" s="32"/>
      <c r="H247" s="32"/>
      <c r="I247" s="32"/>
      <c r="J247" s="32"/>
      <c r="K247" s="32"/>
      <c r="L247" s="32"/>
      <c r="M247" s="32"/>
      <c r="N247" s="32"/>
      <c r="O247" s="32"/>
      <c r="P247" s="32"/>
      <c r="Q247" s="32"/>
    </row>
    <row r="248" spans="1:17" hidden="1" x14ac:dyDescent="0.25">
      <c r="A248" s="32"/>
      <c r="B248" s="32"/>
      <c r="C248" s="32"/>
      <c r="D248" s="32"/>
      <c r="E248" s="32"/>
      <c r="F248" s="32"/>
      <c r="H248" s="32"/>
      <c r="I248" s="32"/>
      <c r="J248" s="32"/>
      <c r="K248" s="32"/>
      <c r="L248" s="32"/>
      <c r="M248" s="32"/>
      <c r="N248" s="32"/>
      <c r="O248" s="32"/>
      <c r="P248" s="32"/>
      <c r="Q248" s="32"/>
    </row>
    <row r="249" spans="1:17" hidden="1" x14ac:dyDescent="0.25">
      <c r="A249" s="32"/>
      <c r="B249" s="32"/>
      <c r="C249" s="32"/>
      <c r="D249" s="32"/>
      <c r="E249" s="32"/>
      <c r="F249" s="32"/>
      <c r="H249" s="32"/>
      <c r="I249" s="32"/>
      <c r="J249" s="32"/>
      <c r="K249" s="32"/>
      <c r="L249" s="32"/>
      <c r="M249" s="32"/>
      <c r="N249" s="32"/>
      <c r="O249" s="32"/>
      <c r="P249" s="32"/>
      <c r="Q249" s="32"/>
    </row>
    <row r="250" spans="1:17" hidden="1" x14ac:dyDescent="0.25">
      <c r="A250" s="32"/>
      <c r="B250" s="32"/>
      <c r="C250" s="32"/>
      <c r="D250" s="32"/>
      <c r="E250" s="32"/>
      <c r="F250" s="32"/>
      <c r="H250" s="32"/>
      <c r="K250" s="32"/>
      <c r="L250" s="32"/>
      <c r="M250" s="32"/>
      <c r="N250" s="32"/>
      <c r="O250" s="32"/>
      <c r="P250" s="32"/>
      <c r="Q250" s="32"/>
    </row>
    <row r="251" spans="1:17" hidden="1" x14ac:dyDescent="0.25">
      <c r="A251" s="32"/>
      <c r="B251" s="32"/>
      <c r="C251" s="32"/>
      <c r="D251" s="32"/>
      <c r="E251" s="32"/>
      <c r="F251" s="32"/>
      <c r="H251" s="32"/>
      <c r="K251" s="32"/>
      <c r="L251" s="32"/>
      <c r="M251" s="32"/>
      <c r="N251" s="32"/>
      <c r="O251" s="32"/>
      <c r="P251" s="32"/>
      <c r="Q251" s="32"/>
    </row>
    <row r="252" spans="1:17" hidden="1" x14ac:dyDescent="0.25">
      <c r="A252" s="32"/>
      <c r="B252" s="32"/>
      <c r="C252" s="32"/>
      <c r="D252" s="32"/>
      <c r="E252" s="32"/>
      <c r="F252" s="32"/>
      <c r="H252" s="32"/>
      <c r="K252" s="32"/>
      <c r="L252" s="32"/>
      <c r="M252" s="32"/>
      <c r="N252" s="32"/>
      <c r="O252" s="32"/>
      <c r="P252" s="32"/>
      <c r="Q252" s="32"/>
    </row>
    <row r="253" spans="1:17" hidden="1" x14ac:dyDescent="0.25">
      <c r="A253" s="32"/>
      <c r="B253" s="32"/>
      <c r="C253" s="32"/>
      <c r="D253" s="32"/>
      <c r="E253" s="32"/>
      <c r="F253" s="32"/>
      <c r="H253" s="32"/>
      <c r="K253" s="32"/>
      <c r="L253" s="32"/>
      <c r="M253" s="32"/>
      <c r="N253" s="32"/>
      <c r="O253" s="32"/>
      <c r="P253" s="32"/>
      <c r="Q253" s="32"/>
    </row>
    <row r="254" spans="1:17" hidden="1" x14ac:dyDescent="0.25">
      <c r="A254" s="32"/>
      <c r="B254" s="32"/>
      <c r="C254" s="32"/>
      <c r="D254" s="32"/>
      <c r="E254" s="32"/>
      <c r="F254" s="32"/>
      <c r="H254" s="32"/>
      <c r="K254" s="32"/>
      <c r="L254" s="32"/>
      <c r="M254" s="32"/>
      <c r="N254" s="32"/>
      <c r="O254" s="32"/>
      <c r="P254" s="32"/>
      <c r="Q254" s="32"/>
    </row>
    <row r="255" spans="1:17" hidden="1" x14ac:dyDescent="0.25">
      <c r="A255" s="32"/>
      <c r="B255" s="32"/>
      <c r="C255" s="32"/>
      <c r="D255" s="32"/>
      <c r="E255" s="32"/>
      <c r="F255" s="32"/>
      <c r="H255" s="32"/>
      <c r="K255" s="32"/>
      <c r="L255" s="32"/>
      <c r="M255" s="32"/>
      <c r="N255" s="32"/>
      <c r="O255" s="32"/>
      <c r="P255" s="32"/>
      <c r="Q255" s="32"/>
    </row>
    <row r="256" spans="1:17" hidden="1" x14ac:dyDescent="0.25">
      <c r="A256" s="32"/>
      <c r="B256" s="32"/>
      <c r="C256" s="32"/>
      <c r="D256" s="32"/>
      <c r="E256" s="32"/>
      <c r="F256" s="32"/>
      <c r="H256" s="32"/>
      <c r="K256" s="32"/>
      <c r="L256" s="32"/>
      <c r="M256" s="32"/>
      <c r="N256" s="32"/>
      <c r="O256" s="32"/>
      <c r="P256" s="32"/>
      <c r="Q256" s="32"/>
    </row>
    <row r="257" spans="1:17" hidden="1" x14ac:dyDescent="0.25">
      <c r="A257" s="32"/>
      <c r="B257" s="32"/>
      <c r="C257" s="32"/>
      <c r="D257" s="32"/>
      <c r="E257" s="32"/>
      <c r="F257" s="32"/>
      <c r="H257" s="32"/>
      <c r="K257" s="32"/>
      <c r="L257" s="32"/>
      <c r="M257" s="32"/>
      <c r="N257" s="32"/>
      <c r="O257" s="32"/>
      <c r="P257" s="32"/>
      <c r="Q257" s="32"/>
    </row>
    <row r="258" spans="1:17" hidden="1" x14ac:dyDescent="0.25">
      <c r="A258" s="32"/>
      <c r="B258" s="32"/>
      <c r="C258" s="32"/>
      <c r="D258" s="32"/>
      <c r="E258" s="32"/>
      <c r="F258" s="32"/>
      <c r="H258" s="32"/>
      <c r="K258" s="32"/>
      <c r="L258" s="32"/>
      <c r="M258" s="32"/>
      <c r="N258" s="32"/>
      <c r="O258" s="32"/>
      <c r="P258" s="32"/>
      <c r="Q258" s="32"/>
    </row>
    <row r="259" spans="1:17" hidden="1" x14ac:dyDescent="0.25">
      <c r="A259" s="32"/>
      <c r="B259" s="32"/>
      <c r="C259" s="32"/>
      <c r="D259" s="32"/>
      <c r="E259" s="32"/>
      <c r="F259" s="32"/>
      <c r="H259" s="32"/>
      <c r="K259" s="32"/>
      <c r="L259" s="32"/>
      <c r="M259" s="32"/>
      <c r="N259" s="32"/>
      <c r="O259" s="32"/>
      <c r="P259" s="32"/>
      <c r="Q259" s="32"/>
    </row>
    <row r="260" spans="1:17" hidden="1" x14ac:dyDescent="0.25">
      <c r="A260" s="32"/>
      <c r="B260" s="32"/>
      <c r="C260" s="32"/>
      <c r="D260" s="32"/>
      <c r="E260" s="32"/>
      <c r="F260" s="32"/>
      <c r="H260" s="32"/>
      <c r="K260" s="32"/>
      <c r="L260" s="32"/>
      <c r="M260" s="32"/>
      <c r="N260" s="32"/>
      <c r="O260" s="32"/>
      <c r="P260" s="32"/>
      <c r="Q260" s="32"/>
    </row>
    <row r="261" spans="1:17" hidden="1" x14ac:dyDescent="0.25">
      <c r="A261" s="32"/>
      <c r="B261" s="32"/>
      <c r="C261" s="32"/>
      <c r="D261" s="32"/>
      <c r="E261" s="32"/>
      <c r="F261" s="32"/>
      <c r="H261" s="32"/>
      <c r="K261" s="32"/>
      <c r="L261" s="32"/>
      <c r="M261" s="32"/>
      <c r="N261" s="32"/>
      <c r="O261" s="32"/>
      <c r="P261" s="32"/>
      <c r="Q261" s="32"/>
    </row>
    <row r="262" spans="1:17" hidden="1" x14ac:dyDescent="0.25">
      <c r="A262" s="32"/>
      <c r="B262" s="32"/>
      <c r="C262" s="32"/>
      <c r="D262" s="32"/>
      <c r="E262" s="32"/>
      <c r="F262" s="32"/>
      <c r="H262" s="32"/>
      <c r="K262" s="32"/>
      <c r="L262" s="32"/>
      <c r="M262" s="32"/>
      <c r="N262" s="32"/>
      <c r="O262" s="32"/>
      <c r="P262" s="32"/>
      <c r="Q262" s="32"/>
    </row>
    <row r="263" spans="1:17" hidden="1" x14ac:dyDescent="0.25">
      <c r="A263" s="32"/>
    </row>
    <row r="264" spans="1:17" hidden="1" x14ac:dyDescent="0.25">
      <c r="A264" s="32"/>
    </row>
    <row r="265" spans="1:17" hidden="1" x14ac:dyDescent="0.25">
      <c r="A265" s="32"/>
    </row>
    <row r="266" spans="1:17" hidden="1" x14ac:dyDescent="0.25">
      <c r="A266" s="32"/>
    </row>
    <row r="267" spans="1:17" hidden="1" x14ac:dyDescent="0.25">
      <c r="A267" s="32"/>
    </row>
    <row r="268" spans="1:17" hidden="1" x14ac:dyDescent="0.25">
      <c r="A268" s="32"/>
    </row>
    <row r="269" spans="1:17" hidden="1" x14ac:dyDescent="0.25">
      <c r="A269" s="32"/>
    </row>
    <row r="270" spans="1:17" hidden="1" x14ac:dyDescent="0.25">
      <c r="A270" s="32"/>
    </row>
    <row r="271" spans="1:17" hidden="1" x14ac:dyDescent="0.25">
      <c r="A271" s="32"/>
    </row>
    <row r="272" spans="1:17" hidden="1" x14ac:dyDescent="0.25">
      <c r="A272" s="32"/>
    </row>
    <row r="273" spans="1:1" hidden="1" x14ac:dyDescent="0.25">
      <c r="A273" s="32"/>
    </row>
    <row r="274" spans="1:1" hidden="1" x14ac:dyDescent="0.25">
      <c r="A274" s="32"/>
    </row>
    <row r="275" spans="1:1" hidden="1" x14ac:dyDescent="0.25">
      <c r="A275" s="32"/>
    </row>
    <row r="276" spans="1:1" hidden="1" x14ac:dyDescent="0.25">
      <c r="A276" s="32"/>
    </row>
    <row r="277" spans="1:1" hidden="1" x14ac:dyDescent="0.25">
      <c r="A277" s="32"/>
    </row>
    <row r="278" spans="1:1" hidden="1" x14ac:dyDescent="0.25">
      <c r="A278" s="32"/>
    </row>
    <row r="279" spans="1:1" hidden="1" x14ac:dyDescent="0.25">
      <c r="A279" s="32"/>
    </row>
    <row r="280" spans="1:1" hidden="1" x14ac:dyDescent="0.25">
      <c r="A280" s="32"/>
    </row>
    <row r="281" spans="1:1" hidden="1" x14ac:dyDescent="0.25">
      <c r="A281" s="32"/>
    </row>
    <row r="282" spans="1:1" hidden="1" x14ac:dyDescent="0.25">
      <c r="A282" s="32"/>
    </row>
    <row r="283" spans="1:1" hidden="1" x14ac:dyDescent="0.25">
      <c r="A283" s="32"/>
    </row>
    <row r="284" spans="1:1" hidden="1" x14ac:dyDescent="0.25">
      <c r="A284" s="32"/>
    </row>
    <row r="285" spans="1:1" hidden="1" x14ac:dyDescent="0.25">
      <c r="A285" s="32"/>
    </row>
    <row r="286" spans="1:1" hidden="1" x14ac:dyDescent="0.25">
      <c r="A286" s="32"/>
    </row>
    <row r="287" spans="1:1" hidden="1" x14ac:dyDescent="0.25">
      <c r="A287" s="32"/>
    </row>
    <row r="288" spans="1:1" hidden="1" x14ac:dyDescent="0.25">
      <c r="A288" s="32"/>
    </row>
    <row r="289" spans="1:1" hidden="1" x14ac:dyDescent="0.25">
      <c r="A289" s="32"/>
    </row>
    <row r="290" spans="1:1" hidden="1" x14ac:dyDescent="0.25">
      <c r="A290" s="32"/>
    </row>
    <row r="291" spans="1:1" hidden="1" x14ac:dyDescent="0.25">
      <c r="A291" s="32"/>
    </row>
    <row r="292" spans="1:1" hidden="1" x14ac:dyDescent="0.25">
      <c r="A292" s="32"/>
    </row>
    <row r="293" spans="1:1" hidden="1" x14ac:dyDescent="0.25">
      <c r="A293" s="32"/>
    </row>
    <row r="294" spans="1:1" hidden="1" x14ac:dyDescent="0.25">
      <c r="A294" s="32"/>
    </row>
    <row r="295" spans="1:1" hidden="1" x14ac:dyDescent="0.25">
      <c r="A295" s="32"/>
    </row>
    <row r="296" spans="1:1" hidden="1" x14ac:dyDescent="0.25">
      <c r="A296" s="32"/>
    </row>
    <row r="297" spans="1:1" hidden="1" x14ac:dyDescent="0.25">
      <c r="A297" s="32"/>
    </row>
    <row r="298" spans="1:1" hidden="1" x14ac:dyDescent="0.25">
      <c r="A298" s="32"/>
    </row>
    <row r="299" spans="1:1" hidden="1" x14ac:dyDescent="0.25">
      <c r="A299" s="32"/>
    </row>
    <row r="300" spans="1:1" hidden="1" x14ac:dyDescent="0.25">
      <c r="A300" s="32"/>
    </row>
    <row r="301" spans="1:1" hidden="1" x14ac:dyDescent="0.25">
      <c r="A301" s="32"/>
    </row>
    <row r="302" spans="1:1" hidden="1" x14ac:dyDescent="0.25">
      <c r="A302" s="32"/>
    </row>
    <row r="303" spans="1:1" x14ac:dyDescent="0.25"/>
    <row r="304" spans="1:1" x14ac:dyDescent="0.25"/>
    <row r="305" x14ac:dyDescent="0.25"/>
    <row r="306" x14ac:dyDescent="0.25"/>
    <row r="307" x14ac:dyDescent="0.25"/>
    <row r="308" x14ac:dyDescent="0.25"/>
    <row r="309" x14ac:dyDescent="0.25"/>
    <row r="310" x14ac:dyDescent="0.25"/>
  </sheetData>
  <sheetProtection algorithmName="SHA-512" hashValue="pFpSzyiCjAQeA+iy9hNMMQqfnQvPClTjCcdqwbEpHiPrCEaobAnhgjrZLs3CUxOy7R89MqaL/XGgv142Z9vXAQ==" saltValue="gaQmU1dSEvjwa+bXdJLLxQ==" spinCount="100000" sheet="1" objects="1" scenarios="1"/>
  <customSheetViews>
    <customSheetView guid="{8BDA793C-C9C5-4FC6-A0A5-F1109F6D4F22}" state="hidden" topLeftCell="A81">
      <selection activeCell="D14" sqref="D14"/>
    </customSheetView>
  </customSheetViews>
  <mergeCells count="2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 ref="B2:G2"/>
    <mergeCell ref="G3:G4"/>
    <mergeCell ref="B3:B4"/>
    <mergeCell ref="C3:F4"/>
    <mergeCell ref="C5:F5"/>
    <mergeCell ref="C6:F6"/>
    <mergeCell ref="C7:F7"/>
    <mergeCell ref="C8:F8"/>
    <mergeCell ref="B39:G39"/>
    <mergeCell ref="B11:G11"/>
  </mergeCells>
  <conditionalFormatting sqref="H3">
    <cfRule type="cellIs" dxfId="834" priority="94" operator="equal">
      <formula>"Check Proposed Habitat Trading"</formula>
    </cfRule>
    <cfRule type="cellIs" dxfId="833" priority="95" operator="equal">
      <formula>"Overall Trading Acceptable"</formula>
    </cfRule>
  </conditionalFormatting>
  <conditionalFormatting sqref="J12">
    <cfRule type="cellIs" dxfId="832" priority="67" operator="greaterThan">
      <formula>0</formula>
    </cfRule>
    <cfRule type="cellIs" dxfId="831" priority="68" operator="lessThan">
      <formula>0</formula>
    </cfRule>
  </conditionalFormatting>
  <conditionalFormatting sqref="J41">
    <cfRule type="cellIs" dxfId="830" priority="60" operator="greaterThan">
      <formula>0</formula>
    </cfRule>
    <cfRule type="cellIs" dxfId="829" priority="63" operator="lessThan">
      <formula>0</formula>
    </cfRule>
  </conditionalFormatting>
  <conditionalFormatting sqref="J40">
    <cfRule type="cellIs" dxfId="828" priority="61" operator="greaterThan">
      <formula>0</formula>
    </cfRule>
    <cfRule type="cellIs" dxfId="827" priority="62" operator="lessThan">
      <formula>0</formula>
    </cfRule>
  </conditionalFormatting>
  <conditionalFormatting sqref="J88 J90:J91 J125:J126">
    <cfRule type="cellIs" dxfId="826" priority="34" operator="lessThan">
      <formula>0</formula>
    </cfRule>
    <cfRule type="cellIs" dxfId="825" priority="35" operator="greaterThan">
      <formula>0</formula>
    </cfRule>
  </conditionalFormatting>
  <conditionalFormatting sqref="G5:G8">
    <cfRule type="containsText" dxfId="824" priority="64" operator="containsText" text="Yes">
      <formula>NOT(ISERROR(SEARCH("Yes",G5)))</formula>
    </cfRule>
    <cfRule type="containsText" dxfId="823" priority="65" operator="containsText" text="No">
      <formula>NOT(ISERROR(SEARCH("No",G5)))</formula>
    </cfRule>
  </conditionalFormatting>
  <conditionalFormatting sqref="J89">
    <cfRule type="cellIs" dxfId="822" priority="31" operator="lessThan">
      <formula>0</formula>
    </cfRule>
  </conditionalFormatting>
  <conditionalFormatting sqref="B89:F115 B125:F162 B41:G82">
    <cfRule type="expression" dxfId="821" priority="15">
      <formula>$F41&gt;0</formula>
    </cfRule>
    <cfRule type="expression" dxfId="820" priority="16">
      <formula>$F41&lt;0</formula>
    </cfRule>
  </conditionalFormatting>
  <conditionalFormatting sqref="G89:G105 G110:G115">
    <cfRule type="expression" dxfId="819" priority="13">
      <formula>$G89&gt;0</formula>
    </cfRule>
    <cfRule type="expression" dxfId="818" priority="14">
      <formula>$G89&lt;0</formula>
    </cfRule>
  </conditionalFormatting>
  <conditionalFormatting sqref="B13:G32">
    <cfRule type="expression" dxfId="817" priority="7">
      <formula>$F13&gt;0</formula>
    </cfRule>
    <cfRule type="expression" dxfId="816" priority="8">
      <formula>$F13&lt;0</formula>
    </cfRule>
  </conditionalFormatting>
  <conditionalFormatting sqref="I13:J13">
    <cfRule type="containsText" dxfId="815" priority="6" operator="containsText" text="Very high distinctiveness unit defecit - CHECK DATA">
      <formula>NOT(ISERROR(SEARCH("Very high distinctiveness unit defecit - CHECK DATA",I13)))</formula>
    </cfRule>
  </conditionalFormatting>
  <conditionalFormatting sqref="G106 G108">
    <cfRule type="expression" dxfId="814" priority="3">
      <formula>$G106&gt;0</formula>
    </cfRule>
    <cfRule type="expression" dxfId="813"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0F6C8C5A6BDA47BE6E113ECCB664B2" ma:contentTypeVersion="13" ma:contentTypeDescription="Create a new document." ma:contentTypeScope="" ma:versionID="b8bf777e99cfc46fa6e66d7eed933a20">
  <xsd:schema xmlns:xsd="http://www.w3.org/2001/XMLSchema" xmlns:xs="http://www.w3.org/2001/XMLSchema" xmlns:p="http://schemas.microsoft.com/office/2006/metadata/properties" xmlns:ns2="325c90b0-38f2-4d4a-99ea-031059d191c2" xmlns:ns3="c2664a79-626b-4390-9dde-f2f3e70d74ff" targetNamespace="http://schemas.microsoft.com/office/2006/metadata/properties" ma:root="true" ma:fieldsID="3011285fa3c2df2c28523f8080d08e6f" ns2:_="" ns3:_="">
    <xsd:import namespace="325c90b0-38f2-4d4a-99ea-031059d191c2"/>
    <xsd:import namespace="c2664a79-626b-4390-9dde-f2f3e70d7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c90b0-38f2-4d4a-99ea-031059d191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59acc10-f9e9-4916-bc5f-62b8062e9ed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64a79-626b-4390-9dde-f2f3e70d74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feb872-48ba-4826-924c-690259f8a9be}" ma:internalName="TaxCatchAll" ma:showField="CatchAllData" ma:web="c2664a79-626b-4390-9dde-f2f3e70d74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5c90b0-38f2-4d4a-99ea-031059d191c2">
      <Terms xmlns="http://schemas.microsoft.com/office/infopath/2007/PartnerControls"/>
    </lcf76f155ced4ddcb4097134ff3c332f>
    <TaxCatchAll xmlns="c2664a79-626b-4390-9dde-f2f3e70d74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26" ma:contentTypeDescription="Create a new document." ma:contentTypeScope="" ma:versionID="3afcf072e528b60f8e656552a3862272">
  <xsd:schema xmlns:xsd="http://www.w3.org/2001/XMLSchema" xmlns:xs="http://www.w3.org/2001/XMLSchema" xmlns:p="http://schemas.microsoft.com/office/2006/metadata/properties" xmlns:ns2="662745e8-e224-48e8-a2e3-254862b8c2f5" xmlns:ns3="e76eb3f9-f7d4-4afe-8d75-1839375753c6" xmlns:ns4="c2882a20-fcb3-4e62-b082-ac21ed701140" targetNamespace="http://schemas.microsoft.com/office/2006/metadata/properties" ma:root="true" ma:fieldsID="e572c2dfc9827aaff246135330160b6f" ns2:_="" ns3:_="" ns4:_="">
    <xsd:import namespace="662745e8-e224-48e8-a2e3-254862b8c2f5"/>
    <xsd:import namespace="e76eb3f9-f7d4-4afe-8d75-1839375753c6"/>
    <xsd:import namespace="c2882a20-fcb3-4e62-b082-ac21ed701140"/>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SharedWithUsers" minOccurs="0"/>
                <xsd:element ref="ns3:SharedWithDetails" minOccurs="0"/>
                <xsd:element ref="ns4:MediaServiceMetadata" minOccurs="0"/>
                <xsd:element ref="ns4:MediaServiceFastMetadata"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xsd:simpleType>
        <xsd:restriction base="dms:Text"/>
      </xsd:simpleType>
    </xsd:element>
    <xsd:element name="Topic" ma:index="20" nillable="true" ma:displayName="Topic" ma:default="External Sharing"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4" nillable="true" ma:displayName="MediaServiceDateTaken" ma:hidden="true" ma:indexed="true" ma:internalName="MediaServiceDateTaken"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65A7C6-FBE8-4335-9A29-08E5E9C413A1}"/>
</file>

<file path=customXml/itemProps2.xml><?xml version="1.0" encoding="utf-8"?>
<ds:datastoreItem xmlns:ds="http://schemas.openxmlformats.org/officeDocument/2006/customXml" ds:itemID="{D5D8E80E-3650-4921-9D0F-F779F71661B1}">
  <ds:schemaRefs>
    <ds:schemaRef ds:uri="http://purl.org/dc/elements/1.1/"/>
    <ds:schemaRef ds:uri="e76eb3f9-f7d4-4afe-8d75-1839375753c6"/>
    <ds:schemaRef ds:uri="http://www.w3.org/XML/1998/namespace"/>
    <ds:schemaRef ds:uri="http://schemas.openxmlformats.org/package/2006/metadata/core-properties"/>
    <ds:schemaRef ds:uri="http://schemas.microsoft.com/office/infopath/2007/PartnerControls"/>
    <ds:schemaRef ds:uri="http://purl.org/dc/terms/"/>
    <ds:schemaRef ds:uri="http://purl.org/dc/dcmitype/"/>
    <ds:schemaRef ds:uri="http://schemas.microsoft.com/office/2006/documentManagement/types"/>
    <ds:schemaRef ds:uri="c2882a20-fcb3-4e62-b082-ac21ed701140"/>
    <ds:schemaRef ds:uri="662745e8-e224-48e8-a2e3-254862b8c2f5"/>
    <ds:schemaRef ds:uri="http://schemas.microsoft.com/office/2006/metadata/properties"/>
  </ds:schemaRefs>
</ds:datastoreItem>
</file>

<file path=customXml/itemProps3.xml><?xml version="1.0" encoding="utf-8"?>
<ds:datastoreItem xmlns:ds="http://schemas.openxmlformats.org/officeDocument/2006/customXml" ds:itemID="{58239782-4E07-4B04-8FC6-10B477E7F061}">
  <ds:schemaRefs>
    <ds:schemaRef ds:uri="http://schemas.microsoft.com/sharepoint/v3/contenttype/forms"/>
  </ds:schemaRefs>
</ds:datastoreItem>
</file>

<file path=customXml/itemProps4.xml><?xml version="1.0" encoding="utf-8"?>
<ds:datastoreItem xmlns:ds="http://schemas.openxmlformats.org/officeDocument/2006/customXml" ds:itemID="{3BC8C6B2-9719-4C0C-8A7F-E80E794A3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e76eb3f9-f7d4-4afe-8d75-1839375753c6"/>
    <ds:schemaRef ds:uri="c2882a20-fcb3-4e62-b082-ac21ed701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57</vt:i4>
      </vt:variant>
    </vt:vector>
  </HeadingPairs>
  <TitlesOfParts>
    <vt:vector size="98" baseType="lpstr">
      <vt:lpstr>Introduction</vt:lpstr>
      <vt:lpstr>Start</vt:lpstr>
      <vt:lpstr>Instructions</vt:lpstr>
      <vt:lpstr>Irreplaceable Habitats</vt:lpstr>
      <vt:lpstr>Main Menu</vt:lpstr>
      <vt:lpstr>Results</vt:lpstr>
      <vt:lpstr>Headline Results</vt:lpstr>
      <vt:lpstr>Detailed Results</vt:lpstr>
      <vt:lpstr>Trading Summary Area Habitats</vt:lpstr>
      <vt:lpstr>Trading Summary Hedgerows</vt:lpstr>
      <vt:lpstr>Trading Summary WaterC's</vt:lpstr>
      <vt:lpstr>Off-site gain site summary</vt:lpstr>
      <vt:lpstr>A-1 On-Site Habitat Baseline</vt:lpstr>
      <vt:lpstr>A-2 On-Site Habitat Creation</vt:lpstr>
      <vt:lpstr>A-3 On-Site Habitat Enhancement</vt:lpstr>
      <vt:lpstr>D-1 Off-Site Habitat Baseline</vt:lpstr>
      <vt:lpstr>D-2 Off-Site Habitat Creation</vt:lpstr>
      <vt:lpstr>D-3 Off-Site Habitat Enhancment</vt:lpstr>
      <vt:lpstr>B-1 On-Site Hedge Baseline</vt:lpstr>
      <vt:lpstr>B-2 On-Site Hedge Creation</vt:lpstr>
      <vt:lpstr>B-3 On-Site Hedge Enhancement</vt:lpstr>
      <vt:lpstr>E-1 Off-Site Hedge Baseline</vt:lpstr>
      <vt:lpstr>E-2 Off-Site Hedge Creation</vt:lpstr>
      <vt:lpstr>E-3 Off-Site Hedge Enhancement</vt:lpstr>
      <vt:lpstr>C-1 On-Site WaterC' Baseline</vt:lpstr>
      <vt:lpstr>C-2 On-Site WaterC' Creation</vt:lpstr>
      <vt:lpstr>C-3 On-Site WaterC' Enhancement</vt:lpstr>
      <vt:lpstr>F-1 Off-Site WaterC' Baseline</vt:lpstr>
      <vt:lpstr>F-2 Off-Site WaterC' Creation</vt:lpstr>
      <vt:lpstr>F-3 Off-Site WaterC Enhancement</vt:lpstr>
      <vt:lpstr>G-1 All Habitats</vt:lpstr>
      <vt:lpstr>G-2 Habitat groups</vt:lpstr>
      <vt:lpstr>G-3 Multipliers</vt:lpstr>
      <vt:lpstr>G-4 Temporal multipliers</vt:lpstr>
      <vt:lpstr>G-5 Enhancement Temporal</vt:lpstr>
      <vt:lpstr>G-6 Hedgerow Data</vt:lpstr>
      <vt:lpstr>G-7 WaterC' Data</vt:lpstr>
      <vt:lpstr>G-8 Condition Look up</vt:lpstr>
      <vt:lpstr>Phase 1 Translation Tool</vt:lpstr>
      <vt:lpstr>Technical Data</vt:lpstr>
      <vt:lpstr>Lists</vt:lpstr>
      <vt:lpstr>AA</vt:lpstr>
      <vt:lpstr>AllHabsSummaryData</vt:lpstr>
      <vt:lpstr>BaselineHabOffsite</vt:lpstr>
      <vt:lpstr>BaselineHabSite</vt:lpstr>
      <vt:lpstr>baselineimage</vt:lpstr>
      <vt:lpstr>Start!baselineimageOS</vt:lpstr>
      <vt:lpstr>Coastal_lagoons</vt:lpstr>
      <vt:lpstr>Coastal_saltmarsh</vt:lpstr>
      <vt:lpstr>Cond1</vt:lpstr>
      <vt:lpstr>Cond2</vt:lpstr>
      <vt:lpstr>Cond3</vt:lpstr>
      <vt:lpstr>Cond4</vt:lpstr>
      <vt:lpstr>Cond5</vt:lpstr>
      <vt:lpstr>'G-8 Condition Look up'!Condition</vt:lpstr>
      <vt:lpstr>'G-8 Condition Look up'!ConditionData</vt:lpstr>
      <vt:lpstr>'G-8 Condition Look up'!ConditionHabitats</vt:lpstr>
      <vt:lpstr>Cropland</vt:lpstr>
      <vt:lpstr>Difficulty</vt:lpstr>
      <vt:lpstr>Encroachment1</vt:lpstr>
      <vt:lpstr>Encroachment2</vt:lpstr>
      <vt:lpstr>EnhanceCondition</vt:lpstr>
      <vt:lpstr>EnhanceHabitat</vt:lpstr>
      <vt:lpstr>EnhanceTemporal</vt:lpstr>
      <vt:lpstr>Grassland</vt:lpstr>
      <vt:lpstr>Heathland_and_shrub</vt:lpstr>
      <vt:lpstr>HedgeCond</vt:lpstr>
      <vt:lpstr>Hedgecond1</vt:lpstr>
      <vt:lpstr>Hedgecond2</vt:lpstr>
      <vt:lpstr>HedgeData</vt:lpstr>
      <vt:lpstr>HedgeType</vt:lpstr>
      <vt:lpstr>Individual_trees</vt:lpstr>
      <vt:lpstr>Individualtrees</vt:lpstr>
      <vt:lpstr>Intertidal_hard_structures</vt:lpstr>
      <vt:lpstr>Intertidal_sediment</vt:lpstr>
      <vt:lpstr>Lakes</vt:lpstr>
      <vt:lpstr>LPAList</vt:lpstr>
      <vt:lpstr>postdevelopmentimage</vt:lpstr>
      <vt:lpstr>postdevelopmentimageOS</vt:lpstr>
      <vt:lpstr>RetCatChecks</vt:lpstr>
      <vt:lpstr>riparianencroachment1</vt:lpstr>
      <vt:lpstr>riparianencroachment2</vt:lpstr>
      <vt:lpstr>Rivercond1</vt:lpstr>
      <vt:lpstr>Rivercond2</vt:lpstr>
      <vt:lpstr>RiverCondition</vt:lpstr>
      <vt:lpstr>RiverEnhanceTemporal</vt:lpstr>
      <vt:lpstr>RiverHabitat</vt:lpstr>
      <vt:lpstr>RiversEnhancment</vt:lpstr>
      <vt:lpstr>Rocky_shore</vt:lpstr>
      <vt:lpstr>Sparsely_vegetated_land</vt:lpstr>
      <vt:lpstr>TemporalConditions</vt:lpstr>
      <vt:lpstr>TemporalData</vt:lpstr>
      <vt:lpstr>TemporalHabitats</vt:lpstr>
      <vt:lpstr>TemporalMultipliers</vt:lpstr>
      <vt:lpstr>Urban</vt:lpstr>
      <vt:lpstr>Watercourse_footprint</vt:lpstr>
      <vt:lpstr>Wetland</vt:lpstr>
      <vt:lpstr>Woodland_and_forest</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Joe Stevens</cp:lastModifiedBy>
  <cp:revision/>
  <dcterms:created xsi:type="dcterms:W3CDTF">2018-04-09T09:41:18Z</dcterms:created>
  <dcterms:modified xsi:type="dcterms:W3CDTF">2025-07-17T13:36:23Z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0x010100F10F6C8C5A6BDA47BE6E113ECCB664B2</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ies>
</file>